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drawings/drawing3.xml" ContentType="application/vnd.openxmlformats-officedocument.drawing+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drawings/drawing4.xml" ContentType="application/vnd.openxmlformats-officedocument.drawing+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date1904="1" codeName="ThisWorkbook"/>
  <mc:AlternateContent xmlns:mc="http://schemas.openxmlformats.org/markup-compatibility/2006">
    <mc:Choice Requires="x15">
      <x15ac:absPath xmlns:x15ac="http://schemas.microsoft.com/office/spreadsheetml/2010/11/ac" url="U:\MWILSHERE\My Documents\2021 FOLDER\2021 APPLICATION FORMS\READY FOR USB DRIVE FOR APPLICATION WORKSHOP\"/>
    </mc:Choice>
  </mc:AlternateContent>
  <xr:revisionPtr revIDLastSave="0" documentId="13_ncr:1_{E7F84762-0F3B-4083-BBC6-5685B4A7AAA3}" xr6:coauthVersionLast="46" xr6:coauthVersionMax="46" xr10:uidLastSave="{00000000-0000-0000-0000-000000000000}"/>
  <workbookProtection workbookAlgorithmName="SHA-512" workbookHashValue="puXJtrerx8aMYypL2ELtcJgpoEXr8f69qcFqmkCJzYq0MgTpt4ZUpwlhnCUMzQXdGhTe577TZhL0WmY1pB7Xzg==" workbookSaltValue="UNqZDw3OZbVdKmBh/buZNQ==" workbookSpinCount="100000" lockStructure="1"/>
  <bookViews>
    <workbookView xWindow="-120" yWindow="-120" windowWidth="29040" windowHeight="15840" tabRatio="892" xr2:uid="{00000000-000D-0000-FFFF-FFFF00000000}"/>
  </bookViews>
  <sheets>
    <sheet name="FORM 1040-1" sheetId="1" r:id="rId1"/>
    <sheet name="SD_Dropdowns" sheetId="106" state="veryHidden" r:id="rId2"/>
    <sheet name="FORM 1040-1a" sheetId="63" r:id="rId3"/>
    <sheet name="FORM 1040-1b" sheetId="93" r:id="rId4"/>
    <sheet name="FORM 1040-1h" sheetId="94" r:id="rId5"/>
    <sheet name="FORM 1040-2" sheetId="40" r:id="rId6"/>
    <sheet name="FORM 1040-2a" sheetId="62" r:id="rId7"/>
    <sheet name="FORM 1040-3" sheetId="41" r:id="rId8"/>
    <sheet name="FORM 1040-4" sheetId="42" r:id="rId9"/>
    <sheet name="FORM 1040-5" sheetId="43" r:id="rId10"/>
    <sheet name="FORM 1040-5a" sheetId="49" r:id="rId11"/>
    <sheet name="FORM 1040-5b" sheetId="50" r:id="rId12"/>
    <sheet name="FORM 1040-6" sheetId="44" r:id="rId13"/>
    <sheet name="FORM 1040-7" sheetId="46" r:id="rId14"/>
    <sheet name="FORM 1040-7a" sheetId="48" r:id="rId15"/>
    <sheet name="FORM 1040-8" sheetId="51" r:id="rId16"/>
    <sheet name="FORM 1040-8a" sheetId="52" r:id="rId17"/>
    <sheet name="FORM 1040-9" sheetId="53" r:id="rId18"/>
    <sheet name="FORM 1040-10" sheetId="55" r:id="rId19"/>
    <sheet name="FORM 1040-10h" sheetId="100" r:id="rId20"/>
    <sheet name="FORM 1040-11" sheetId="56" r:id="rId21"/>
    <sheet name="FORM 1040-12" sheetId="57" r:id="rId22"/>
    <sheet name="FORM 1040-13" sheetId="58" r:id="rId23"/>
    <sheet name="FORM 1040-14" sheetId="60" r:id="rId24"/>
    <sheet name="FORM 1040-14a" sheetId="89" r:id="rId25"/>
    <sheet name="FORM 1040-15" sheetId="64" r:id="rId26"/>
    <sheet name="FORM 1040-15a" sheetId="72" r:id="rId27"/>
    <sheet name="FORM 1040-16" sheetId="86" r:id="rId28"/>
    <sheet name="FORM 1040-17" sheetId="65" r:id="rId29"/>
    <sheet name="FORM 1040-18" sheetId="66" r:id="rId30"/>
    <sheet name="FORM 1040-19" sheetId="67" r:id="rId31"/>
    <sheet name="FORM 1040-20" sheetId="68" r:id="rId32"/>
    <sheet name="FORM 1040-21" sheetId="87" r:id="rId33"/>
    <sheet name="FORM 1040-22" sheetId="69" r:id="rId34"/>
    <sheet name="FORM 1040-23" sheetId="71" r:id="rId35"/>
    <sheet name="FORM 1040-24" sheetId="75" r:id="rId36"/>
    <sheet name="FORM 1040-25" sheetId="76" r:id="rId37"/>
    <sheet name="FORM 1040-26" sheetId="77" r:id="rId38"/>
    <sheet name="FORM 1040-27" sheetId="12" r:id="rId39"/>
    <sheet name="FORM 1040-28" sheetId="18" r:id="rId40"/>
    <sheet name="FORM 1040-29" sheetId="104" r:id="rId41"/>
    <sheet name="FORM 1040-30" sheetId="23" r:id="rId42"/>
    <sheet name="FORM 1040-31" sheetId="24" r:id="rId43"/>
    <sheet name="FORM 1040-31a" sheetId="38" r:id="rId44"/>
    <sheet name="LIHTCP SIGNATURE PAGE" sheetId="26" r:id="rId45"/>
    <sheet name="HOME HTF SIGNATURE PAGE" sheetId="102" r:id="rId46"/>
    <sheet name="MULTIFAMILY LOAN SIGNATURE PAGE" sheetId="105" r:id="rId47"/>
    <sheet name="LIHTCP SCORESHEET" sheetId="79" r:id="rId48"/>
    <sheet name="DEFINITIONS" sheetId="88" r:id="rId49"/>
    <sheet name="INTERMEDIARY COSTS - FUND USE" sheetId="82" r:id="rId50"/>
    <sheet name="PROP COST ANALYSIS - FUND USE" sheetId="83" r:id="rId51"/>
    <sheet name="PROPERTY COST ADJ - FUND USE" sheetId="85" r:id="rId52"/>
    <sheet name="HCDA NEEDED - FUND USE" sheetId="84" r:id="rId53"/>
    <sheet name="MISC ANALYSIS - FUND USE" sheetId="81" r:id="rId54"/>
  </sheets>
  <definedNames>
    <definedName name="Allocation_Certification_1" localSheetId="48">DEFINITIONS!$A$2:$A$62</definedName>
    <definedName name="HOME" localSheetId="52">'HCDA NEEDED - FUND USE'!$A$1</definedName>
    <definedName name="HOME">'PROP COST ANALYSIS - FUND USE'!$A$1</definedName>
    <definedName name="_xlnm.Print_Area" localSheetId="48">DEFINITIONS!$A$1:$B$62</definedName>
    <definedName name="_xlnm.Print_Area" localSheetId="0">'FORM 1040-1'!$A$1:$S$54</definedName>
    <definedName name="_xlnm.Print_Area" localSheetId="18">'FORM 1040-10'!$A$1:$N$44</definedName>
    <definedName name="_xlnm.Print_Area" localSheetId="19">'FORM 1040-10h'!$A$1:$M$53</definedName>
    <definedName name="_xlnm.Print_Area" localSheetId="20">'FORM 1040-11'!$A$1:$I$48</definedName>
    <definedName name="_xlnm.Print_Area" localSheetId="21">'FORM 1040-12'!$A$1:$H$37</definedName>
    <definedName name="_xlnm.Print_Area" localSheetId="22">'FORM 1040-13'!$A$1:$I$60</definedName>
    <definedName name="_xlnm.Print_Area" localSheetId="23">'FORM 1040-14'!$A$1:$K$67</definedName>
    <definedName name="_xlnm.Print_Area" localSheetId="24">'FORM 1040-14a'!$A$1:$L$67</definedName>
    <definedName name="_xlnm.Print_Area" localSheetId="25">'FORM 1040-15'!$A$1:$Q$62</definedName>
    <definedName name="_xlnm.Print_Area" localSheetId="26">'FORM 1040-15a'!$A$1:$L$39</definedName>
    <definedName name="_xlnm.Print_Area" localSheetId="27">'FORM 1040-16'!$A$1:$Q$52</definedName>
    <definedName name="_xlnm.Print_Area" localSheetId="28">'FORM 1040-17'!$A$1:$S$59</definedName>
    <definedName name="_xlnm.Print_Area" localSheetId="29">'FORM 1040-18'!$A$1:$W$59</definedName>
    <definedName name="_xlnm.Print_Area" localSheetId="30">'FORM 1040-19'!$A$1:$M$50</definedName>
    <definedName name="_xlnm.Print_Area" localSheetId="2">'FORM 1040-1a'!$A$1:$R$50</definedName>
    <definedName name="_xlnm.Print_Area" localSheetId="3">'FORM 1040-1b'!$A$1:$S$42</definedName>
    <definedName name="_xlnm.Print_Area" localSheetId="4">'FORM 1040-1h'!$A$1:$S$30</definedName>
    <definedName name="_xlnm.Print_Area" localSheetId="5">'FORM 1040-2'!$A$1:$J$61</definedName>
    <definedName name="_xlnm.Print_Area" localSheetId="31">'FORM 1040-20'!$A$1:$U$40</definedName>
    <definedName name="_xlnm.Print_Area" localSheetId="32">'FORM 1040-21'!$A$1:$U$50</definedName>
    <definedName name="_xlnm.Print_Area" localSheetId="33">'FORM 1040-22'!$A$1:$M$54</definedName>
    <definedName name="_xlnm.Print_Area" localSheetId="34">'FORM 1040-23'!$A$1:$V$43</definedName>
    <definedName name="_xlnm.Print_Area" localSheetId="35">'FORM 1040-24'!$A$1:$O$70</definedName>
    <definedName name="_xlnm.Print_Area" localSheetId="36">'FORM 1040-25'!$A$1:$T$66</definedName>
    <definedName name="_xlnm.Print_Area" localSheetId="37">'FORM 1040-26'!$A$1:$U$68</definedName>
    <definedName name="_xlnm.Print_Area" localSheetId="38">'FORM 1040-27'!$A$1:$P$63</definedName>
    <definedName name="_xlnm.Print_Area" localSheetId="39">'FORM 1040-28'!$A$1:$Q$54</definedName>
    <definedName name="_xlnm.Print_Area" localSheetId="40">'FORM 1040-29'!$A$1:$I$60</definedName>
    <definedName name="_xlnm.Print_Area" localSheetId="6">'FORM 1040-2a'!$A$1:$K$42</definedName>
    <definedName name="_xlnm.Print_Area" localSheetId="7">'FORM 1040-3'!$A$1:$H$48</definedName>
    <definedName name="_xlnm.Print_Area" localSheetId="41">'FORM 1040-30'!$A$1:$L$73</definedName>
    <definedName name="_xlnm.Print_Area" localSheetId="42">'FORM 1040-31'!$A$1:$L$62</definedName>
    <definedName name="_xlnm.Print_Area" localSheetId="43">'FORM 1040-31a'!$A$1:$J$21</definedName>
    <definedName name="_xlnm.Print_Area" localSheetId="8">'FORM 1040-4'!$A$1:$H$44</definedName>
    <definedName name="_xlnm.Print_Area" localSheetId="9">'FORM 1040-5'!$A$1:$F$53</definedName>
    <definedName name="_xlnm.Print_Area" localSheetId="10">'FORM 1040-5a'!$A$1:$G$42</definedName>
    <definedName name="_xlnm.Print_Area" localSheetId="11">'FORM 1040-5b'!$A$1:$G$38</definedName>
    <definedName name="_xlnm.Print_Area" localSheetId="12">'FORM 1040-6'!$A$1:$L$46</definedName>
    <definedName name="_xlnm.Print_Area" localSheetId="13">'FORM 1040-7'!$A$1:$I$46</definedName>
    <definedName name="_xlnm.Print_Area" localSheetId="14">'FORM 1040-7a'!$A$1:$I$28</definedName>
    <definedName name="_xlnm.Print_Area" localSheetId="15">'FORM 1040-8'!$A$1:$R$59</definedName>
    <definedName name="_xlnm.Print_Area" localSheetId="16">'FORM 1040-8a'!$A$1:$R$27</definedName>
    <definedName name="_xlnm.Print_Area" localSheetId="17">'FORM 1040-9'!$A$1:$O$70</definedName>
    <definedName name="_xlnm.Print_Area" localSheetId="52">'HCDA NEEDED - FUND USE'!$A$1:$B$62</definedName>
    <definedName name="_xlnm.Print_Area" localSheetId="45">'HOME HTF SIGNATURE PAGE'!$A$1:$L$44</definedName>
    <definedName name="_xlnm.Print_Area" localSheetId="49">'INTERMEDIARY COSTS - FUND USE'!$A$1:$D$62</definedName>
    <definedName name="_xlnm.Print_Area" localSheetId="47">'LIHTCP SCORESHEET'!$A$1:$H$82</definedName>
    <definedName name="_xlnm.Print_Area" localSheetId="44">'LIHTCP SIGNATURE PAGE'!$A$1:$L$48</definedName>
    <definedName name="_xlnm.Print_Area" localSheetId="53">'MISC ANALYSIS - FUND USE'!$A$1:$C$77</definedName>
    <definedName name="_xlnm.Print_Area" localSheetId="46">'MULTIFAMILY LOAN SIGNATURE PAGE'!$A$1:$L$46</definedName>
    <definedName name="_xlnm.Print_Area" localSheetId="50">'PROP COST ANALYSIS - FUND USE'!$A$1:$D$40</definedName>
    <definedName name="_xlnm.Print_Area" localSheetId="51">'PROPERTY COST ADJ - FUND USE'!$A$1:$I$39</definedName>
    <definedName name="_xlnm.Print_Titles" localSheetId="48">DEFINITIONS!$1:$1</definedName>
    <definedName name="_xlnm.Print_Titles" localSheetId="47">'LIHTCP SCORESHEET'!$1:$7</definedName>
    <definedName name="_xlnm.Print_Titles" localSheetId="53">'MISC ANALYSIS - FUND USE'!$1:$2</definedName>
    <definedName name="_xlnm.Print_Titles" localSheetId="51">'PROPERTY COST ADJ - FUND USE'!$A:$D</definedName>
    <definedName name="SD_2558x1_11_S_0" localSheetId="42" hidden="1">'FORM 1040-31'!$O$49</definedName>
    <definedName name="SD_2558x1_24_S_1" localSheetId="42" hidden="1">'FORM 1040-31'!$P$49</definedName>
    <definedName name="SD_2558x2_11_S_0" localSheetId="42" hidden="1">'FORM 1040-31'!$O$55</definedName>
    <definedName name="SD_2558x2_24_S_1" localSheetId="42" hidden="1">'FORM 1040-31'!$P$55</definedName>
    <definedName name="SD_2558x3_11_S_0" localSheetId="42" hidden="1">'FORM 1040-31'!$O$57</definedName>
    <definedName name="SD_2558x3_24_S_1" localSheetId="42" hidden="1">'FORM 1040-31'!$P$57</definedName>
    <definedName name="SD_2558x4_11_S_0" localSheetId="42" hidden="1">'FORM 1040-31'!$O$58</definedName>
    <definedName name="SD_2558x4_24_S_1" localSheetId="42" hidden="1">'FORM 1040-31'!$P$58</definedName>
    <definedName name="SD_2558x5_11_S_0" localSheetId="42" hidden="1">'FORM 1040-31'!$O$59</definedName>
    <definedName name="SD_2558x5_24_S_1" localSheetId="42" hidden="1">'FORM 1040-31'!$P$59</definedName>
    <definedName name="SD_2558x6_11_S_0" localSheetId="42" hidden="1">'FORM 1040-31'!$O$61</definedName>
    <definedName name="SD_2558x6_24_S_1" localSheetId="42" hidden="1">'FORM 1040-31'!$P$61</definedName>
    <definedName name="SD_34x1_101_S_0" localSheetId="17" hidden="1">'FORM 1040-9'!$T$54</definedName>
    <definedName name="SD_34x1_102_S_0" localSheetId="17" hidden="1">'FORM 1040-9'!$AB$62</definedName>
    <definedName name="SD_34x1_103_S_0" localSheetId="17" hidden="1">'FORM 1040-9'!$AB$66</definedName>
    <definedName name="SD_34x1_104_S_0" localSheetId="17" hidden="1">'FORM 1040-9'!$AB$68</definedName>
    <definedName name="SD_34x1_105_S_0" localSheetId="22" hidden="1">'FORM 1040-13'!$X$17</definedName>
    <definedName name="SD_34x1_106_S_0" localSheetId="22" hidden="1">'FORM 1040-13'!$Q$8</definedName>
    <definedName name="SD_34x1_107_S_0" localSheetId="22" hidden="1">'FORM 1040-13'!$X$15</definedName>
    <definedName name="SD_34x1_108_S_0" localSheetId="22" hidden="1">'FORM 1040-13'!$X$14</definedName>
    <definedName name="SD_34x1_109_S_0" localSheetId="22" hidden="1">'FORM 1040-13'!$Q$13</definedName>
    <definedName name="SD_34x1_110_S_0" localSheetId="22" hidden="1">'FORM 1040-13'!$X$13</definedName>
    <definedName name="SD_34x1_111_S_0" localSheetId="23" hidden="1">'FORM 1040-14'!$D$25</definedName>
    <definedName name="SD_34x1_112_S_0" localSheetId="23" hidden="1">'FORM 1040-14'!$E$25</definedName>
    <definedName name="SD_34x1_113_S_0" localSheetId="23" hidden="1">'FORM 1040-14'!$J$58</definedName>
    <definedName name="SD_34x1_114_S_0" localSheetId="21" hidden="1">'FORM 1040-12'!$R$9</definedName>
    <definedName name="SD_34x1_115_S_0" localSheetId="21" hidden="1">'FORM 1040-12'!$R$12</definedName>
    <definedName name="SD_34x1_116_S_0" localSheetId="21" hidden="1">'FORM 1040-12'!$R$13</definedName>
    <definedName name="SD_34x1_118_S_0" localSheetId="21" hidden="1">'FORM 1040-12'!$R$10</definedName>
    <definedName name="SD_34x1_119_S_0" localSheetId="21" hidden="1">'FORM 1040-12'!$R$11</definedName>
    <definedName name="SD_34x1_121_S_0" localSheetId="21" hidden="1">'FORM 1040-12'!$R$14</definedName>
    <definedName name="SD_34x1_122_S_0" localSheetId="21" hidden="1">'FORM 1040-12'!$R$15</definedName>
    <definedName name="SD_34x1_123_S_0" localSheetId="21" hidden="1">'FORM 1040-12'!$R$16</definedName>
    <definedName name="SD_34x1_124_S_0" localSheetId="21" hidden="1">'FORM 1040-12'!$R$17</definedName>
    <definedName name="SD_34x1_125_S_0" localSheetId="21" hidden="1">'FORM 1040-12'!$R$18</definedName>
    <definedName name="SD_34x1_126_S_0" localSheetId="21" hidden="1">'FORM 1040-12'!$R$19</definedName>
    <definedName name="SD_34x1_127_S_0" localSheetId="21" hidden="1">'FORM 1040-12'!$N$30</definedName>
    <definedName name="SD_34x1_128_S_0" localSheetId="21" hidden="1">'FORM 1040-12'!$N$26</definedName>
    <definedName name="SD_34x1_129_S_0" localSheetId="21" hidden="1">'FORM 1040-12'!$N$27</definedName>
    <definedName name="SD_34x1_130_S_0" localSheetId="21" hidden="1">'FORM 1040-12'!$N$28</definedName>
    <definedName name="SD_34x1_131_S_0" localSheetId="21" hidden="1">'FORM 1040-12'!$N$29</definedName>
    <definedName name="SD_34x1_132_S_0" localSheetId="21" hidden="1">'FORM 1040-12'!$N$9</definedName>
    <definedName name="SD_34x1_133_S_0" localSheetId="21" hidden="1">'FORM 1040-12'!$N$10</definedName>
    <definedName name="SD_34x1_135_S_0" localSheetId="21" hidden="1">'FORM 1040-12'!$N$18</definedName>
    <definedName name="SD_34x1_136_S_0" localSheetId="21" hidden="1">'FORM 1040-12'!$N$21</definedName>
    <definedName name="SD_34x1_137_S_0" localSheetId="21" hidden="1">'FORM 1040-12'!$N$11</definedName>
    <definedName name="SD_34x1_138_S_0" localSheetId="21" hidden="1">'FORM 1040-12'!$N$12</definedName>
    <definedName name="SD_34x1_139_S_0" localSheetId="21" hidden="1">'FORM 1040-12'!$N$13</definedName>
    <definedName name="SD_34x1_140_S_0" localSheetId="22" hidden="1">'FORM 1040-13'!$X$23</definedName>
    <definedName name="SD_34x1_141_S_0" localSheetId="21" hidden="1">'FORM 1040-12'!$N$14</definedName>
    <definedName name="SD_34x1_142_S_0" localSheetId="21" hidden="1">'FORM 1040-12'!$N$15</definedName>
    <definedName name="SD_34x1_143_S_0" localSheetId="22" hidden="1">'FORM 1040-13'!$T$21</definedName>
    <definedName name="SD_34x1_144_S_0" localSheetId="21" hidden="1">'FORM 1040-12'!$N$17</definedName>
    <definedName name="SD_34x1_145_S_0" localSheetId="21" hidden="1">'FORM 1040-12'!$N$19</definedName>
    <definedName name="SD_34x1_147_S_0" localSheetId="21" hidden="1">'FORM 1040-12'!$N$20</definedName>
    <definedName name="SD_34x1_149_S_0" localSheetId="21" hidden="1">'FORM 1040-12'!$N$16</definedName>
    <definedName name="SD_34x1_150_S_0" localSheetId="21" hidden="1">'FORM 1040-12'!$N$22</definedName>
    <definedName name="SD_34x1_151_S_0" localSheetId="21" hidden="1">'FORM 1040-12'!$R$23</definedName>
    <definedName name="SD_34x1_152_S_0" localSheetId="21" hidden="1">'FORM 1040-12'!$R$25</definedName>
    <definedName name="SD_34x1_153_S_0" localSheetId="21" hidden="1">'FORM 1040-12'!$R$29</definedName>
    <definedName name="SD_34x1_154_S_0" localSheetId="21" hidden="1">'FORM 1040-12'!$R$24</definedName>
    <definedName name="SD_34x1_155_S_0" localSheetId="21" hidden="1">'FORM 1040-12'!$R$26</definedName>
    <definedName name="SD_34x1_156_S_0" localSheetId="21" hidden="1">'FORM 1040-12'!$R$27</definedName>
    <definedName name="SD_34x1_157_S_0" localSheetId="21" hidden="1">'FORM 1040-12'!$R$28</definedName>
    <definedName name="SD_34x1_158_S_0" localSheetId="21" hidden="1">'FORM 1040-12'!$R$30</definedName>
    <definedName name="SD_34x1_159_S_0" localSheetId="22" hidden="1">'FORM 1040-13'!$T$20</definedName>
    <definedName name="SD_34x1_165_S_0" localSheetId="15" hidden="1">'FORM 1040-8'!$AV$50</definedName>
    <definedName name="SD_34x1_168_S_0" localSheetId="15" hidden="1">'FORM 1040-8'!$AT$25</definedName>
    <definedName name="SD_34x1_171_S_0" localSheetId="15" hidden="1">'FORM 1040-8'!$AT$26</definedName>
    <definedName name="SD_34x1_174_S_0" localSheetId="15" hidden="1">'FORM 1040-8'!$AT$27</definedName>
    <definedName name="SD_34x1_176_S_0" localSheetId="15" hidden="1">'FORM 1040-8'!$AT$23</definedName>
    <definedName name="SD_34x1_178_S_0" localSheetId="15" hidden="1">'FORM 1040-8'!$AT$28</definedName>
    <definedName name="SD_34x1_179_S_0" localSheetId="13" hidden="1">'FORM 1040-7'!$X$19</definedName>
    <definedName name="SD_34x1_181_S_0" localSheetId="13" hidden="1">'FORM 1040-7'!$X$32</definedName>
    <definedName name="SD_34x1_182_S_0" localSheetId="13" hidden="1">'FORM 1040-7'!$X$28</definedName>
    <definedName name="SD_34x1_183_S_0" localSheetId="13" hidden="1">'FORM 1040-7'!$Z$29</definedName>
    <definedName name="SD_34x1_184_S_0" localSheetId="13" hidden="1">'FORM 1040-7'!$X$42</definedName>
    <definedName name="SD_34x1_185_S_0" localSheetId="13" hidden="1">'FORM 1040-7'!$X$31</definedName>
    <definedName name="SD_34x1_186_S_0" localSheetId="13" hidden="1">'FORM 1040-7'!$X$26</definedName>
    <definedName name="SD_34x1_187_S_0" localSheetId="37" hidden="1">'FORM 1040-26'!$AR$7</definedName>
    <definedName name="SD_34x1_188_S_0" localSheetId="37" hidden="1">'FORM 1040-26'!$AM$13</definedName>
    <definedName name="SD_34x1_189_S_0" localSheetId="37" hidden="1">'FORM 1040-26'!$AL$13</definedName>
    <definedName name="SD_34x1_191_S_0" localSheetId="37" hidden="1">'FORM 1040-26'!$AL$15</definedName>
    <definedName name="SD_34x1_192_S_0" localSheetId="37" hidden="1">'FORM 1040-26'!$AM$21</definedName>
    <definedName name="SD_34x1_193_S_0" localSheetId="37" hidden="1">'FORM 1040-26'!$AL$21</definedName>
    <definedName name="SD_34x1_194_S_0" localSheetId="37" hidden="1">'FORM 1040-26'!$AM$25</definedName>
    <definedName name="SD_34x1_195_S_0" localSheetId="37" hidden="1">'FORM 1040-26'!$AL$25</definedName>
    <definedName name="SD_34x1_196_S_0" localSheetId="37" hidden="1">'FORM 1040-26'!$AM$23</definedName>
    <definedName name="SD_34x1_197_S_0" localSheetId="37" hidden="1">'FORM 1040-26'!$AL$23</definedName>
    <definedName name="SD_34x1_200_S_0" localSheetId="37" hidden="1">'FORM 1040-26'!$AM$17</definedName>
    <definedName name="SD_34x1_201_S_0" localSheetId="37" hidden="1">'FORM 1040-26'!$AL$17</definedName>
    <definedName name="SD_34x1_202_S_0" localSheetId="37" hidden="1">'FORM 1040-26'!$AM$27</definedName>
    <definedName name="SD_34x1_203_S_0" localSheetId="37" hidden="1">'FORM 1040-26'!$AE$27</definedName>
    <definedName name="SD_34x1_204_S_0" localSheetId="37" hidden="1">'FORM 1040-26'!$AL$27</definedName>
    <definedName name="SD_34x1_205_S_0" localSheetId="37" hidden="1">'FORM 1040-26'!$AM$29</definedName>
    <definedName name="SD_34x1_206_S_0" localSheetId="37" hidden="1">'FORM 1040-26'!$AE$29</definedName>
    <definedName name="SD_34x1_207_S_0" localSheetId="37" hidden="1">'FORM 1040-26'!$AL$29</definedName>
    <definedName name="SD_34x1_208_S_0" localSheetId="37" hidden="1">'FORM 1040-26'!$AS$13</definedName>
    <definedName name="SD_34x1_209_S_0" localSheetId="37" hidden="1">'FORM 1040-26'!$AR$13</definedName>
    <definedName name="SD_34x1_21_S_0" localSheetId="0" hidden="1">'FORM 1040-1'!$Y$16</definedName>
    <definedName name="SD_34x1_210_S_0" localSheetId="37" hidden="1">'FORM 1040-26'!$AS$15</definedName>
    <definedName name="SD_34x1_211_S_0" localSheetId="37" hidden="1">'FORM 1040-26'!$AR$15</definedName>
    <definedName name="SD_34x1_212_S_0" localSheetId="37" hidden="1">'FORM 1040-26'!$AS$17</definedName>
    <definedName name="SD_34x1_213_S_0" localSheetId="37" hidden="1">'FORM 1040-26'!$AR$17</definedName>
    <definedName name="SD_34x1_214_S_0" localSheetId="37" hidden="1">'FORM 1040-26'!$AS$19</definedName>
    <definedName name="SD_34x1_215_S_0" localSheetId="37" hidden="1">'FORM 1040-26'!$AR$19</definedName>
    <definedName name="SD_34x1_216_S_0" localSheetId="37" hidden="1">'FORM 1040-26'!$AS$23</definedName>
    <definedName name="SD_34x1_217_S_0" localSheetId="37" hidden="1">'FORM 1040-26'!$AR$23</definedName>
    <definedName name="SD_34x1_218_S_0" localSheetId="37" hidden="1">'FORM 1040-26'!$AS$21</definedName>
    <definedName name="SD_34x1_219_S_0" localSheetId="37" hidden="1">'FORM 1040-26'!$AR$21</definedName>
    <definedName name="SD_34x1_220_S_0" localSheetId="37" hidden="1">'FORM 1040-26'!$AS$25</definedName>
    <definedName name="SD_34x1_221_S_0" localSheetId="37" hidden="1">'FORM 1040-26'!$AO$25</definedName>
    <definedName name="SD_34x1_222_S_0" localSheetId="37" hidden="1">'FORM 1040-26'!$AR$25</definedName>
    <definedName name="SD_34x1_223_S_0" localSheetId="37" hidden="1">'FORM 1040-26'!$AM$19</definedName>
    <definedName name="SD_34x1_224_S_0" localSheetId="37" hidden="1">'FORM 1040-26'!$AL$19</definedName>
    <definedName name="SD_34x1_227_S_0" localSheetId="37" hidden="1">'FORM 1040-26'!$AS$52</definedName>
    <definedName name="SD_34x1_228_S_0" localSheetId="37" hidden="1">'FORM 1040-26'!$AR$52</definedName>
    <definedName name="SD_34x1_229_S_0" localSheetId="37" hidden="1">'FORM 1040-26'!$AS$54</definedName>
    <definedName name="SD_34x1_23_S_0" localSheetId="0" hidden="1">'FORM 1040-1'!$AF$16</definedName>
    <definedName name="SD_34x1_230_S_0" localSheetId="37" hidden="1">'FORM 1040-26'!$AR$54</definedName>
    <definedName name="SD_34x1_231_S_0" localSheetId="37" hidden="1">'FORM 1040-26'!$AS$56</definedName>
    <definedName name="SD_34x1_232_S_0" localSheetId="37" hidden="1">'FORM 1040-26'!$AM$56</definedName>
    <definedName name="SD_34x1_233_S_0" localSheetId="37" hidden="1">'FORM 1040-26'!$AR$56</definedName>
    <definedName name="SD_34x1_235_S_0" localSheetId="37" hidden="1">'FORM 1040-26'!$AR$58</definedName>
    <definedName name="SD_34x1_237_S_0" localSheetId="27" hidden="1">'FORM 1040-24'!$AD$14</definedName>
    <definedName name="SD_34x1_24_S_0" localSheetId="0" hidden="1">'FORM 1040-1'!$AN$16</definedName>
    <definedName name="SD_34x1_240_S_0" localSheetId="30" hidden="1">'FORM 1040-19'!$R$7</definedName>
    <definedName name="SD_34x1_26_S_0" localSheetId="39" hidden="1">'FORM 1040-1'!$AN$15</definedName>
    <definedName name="SD_34x1_27_S_0" localSheetId="39" hidden="1">'FORM 1040-5'!$M$11</definedName>
    <definedName name="SD_34x1_28_S_0" localSheetId="39" hidden="1">'FORM 1040-5'!$M$13</definedName>
    <definedName name="SD_34x1_337_S_1" localSheetId="0" hidden="1">'FORM 1040-1'!$AL$16</definedName>
    <definedName name="SD_34x1_339_S_1" localSheetId="0" hidden="1">'FORM 1040-1'!$AI$16</definedName>
    <definedName name="SD_34x1_343_S_1" localSheetId="13" hidden="1">'FORM 1040-7'!$W$14</definedName>
    <definedName name="SD_34x1_344_S_1" localSheetId="13" hidden="1">'FORM 1040-7'!$W$12</definedName>
    <definedName name="SD_34x1_345_S_1" localSheetId="0" hidden="1">'FORM 1040-1'!$AK$32</definedName>
    <definedName name="SD_34x1_346_S_1" localSheetId="26" hidden="1">'FORM 1040-15a'!$O$9</definedName>
    <definedName name="SD_34x1_347_S_1" localSheetId="38" hidden="1">'FORM 1040-27'!$AF$8</definedName>
    <definedName name="SD_34x1_349_S_1" localSheetId="30" hidden="1">'FORM 1040-19'!$R$37</definedName>
    <definedName name="SD_34x1_350_S_1" localSheetId="27" hidden="1">'FORM 1040-24'!$AD$7</definedName>
    <definedName name="SD_34x1_355_S_0" localSheetId="13" hidden="1">'FORM 1040-7'!$X$8</definedName>
    <definedName name="SD_34x1_363_S_1" localSheetId="25" hidden="1">'FORM 1040-15'!$Y$22</definedName>
    <definedName name="SD_34x1_38_S_0" localSheetId="13" hidden="1">'FORM 1040-7'!$X$9</definedName>
    <definedName name="SD_34x1_42x1_12_S_0" localSheetId="7" hidden="1">'FORM 1040-3'!$Q$13</definedName>
    <definedName name="SD_34x1_42x1_13_S_0" localSheetId="7" hidden="1">'FORM 1040-3'!$Q$19</definedName>
    <definedName name="SD_34x1_42x1_15_S_0" localSheetId="7" hidden="1">'FORM 1040-3'!$Q$20</definedName>
    <definedName name="SD_34x1_42x1_16_S_0" localSheetId="7" hidden="1">'FORM 1040-3'!$Q$21</definedName>
    <definedName name="SD_34x1_42x1_17_S_0" localSheetId="7" hidden="1">'FORM 1040-3'!$Q$22</definedName>
    <definedName name="SD_34x1_42x1_18_S_0" localSheetId="7" hidden="1">'FORM 1040-3'!$Q$23</definedName>
    <definedName name="SD_34x1_42x1_19_S_0" localSheetId="7" hidden="1">'FORM 1040-3'!$Q$14</definedName>
    <definedName name="SD_34x1_42x1_21_S_0" localSheetId="7" hidden="1">'FORM 1040-3'!$Q$24</definedName>
    <definedName name="SD_34x1_42x1_22_S_0" localSheetId="7" hidden="1">'FORM 1040-3'!$Q$25</definedName>
    <definedName name="SD_34x1_42x1_23_S_0" localSheetId="7" hidden="1">'FORM 1040-3'!$Q$26</definedName>
    <definedName name="SD_34x1_42x1_26_S_0" localSheetId="7" hidden="1">'FORM 1040-3'!$Q$32</definedName>
    <definedName name="SD_34x1_42x1_27_S_0" localSheetId="7" hidden="1">'FORM 1040-3'!$Q$31</definedName>
    <definedName name="SD_34x1_42x1_28_S_0" localSheetId="7" hidden="1">'FORM 1040-3'!$Q$34</definedName>
    <definedName name="SD_34x1_42x1_29_S_0" localSheetId="7" hidden="1">'FORM 1040-3'!$Q$33</definedName>
    <definedName name="SD_34x1_42x1_30_S_0" localSheetId="7" hidden="1">'FORM 1040-3'!$Q$30</definedName>
    <definedName name="SD_34x1_42x1_31_S_0" localSheetId="7" hidden="1">'FORM 1040-3'!$Q$29</definedName>
    <definedName name="SD_34x1_42x1_32_S_0" localSheetId="7" hidden="1">'FORM 1040-3'!$Q$28</definedName>
    <definedName name="SD_34x1_42x1_33_S_0" localSheetId="7" hidden="1">'FORM 1040-3'!$Q$35</definedName>
    <definedName name="SD_34x1_42x1_37_S_0" localSheetId="7" hidden="1">'FORM 1040-3'!$Q$37</definedName>
    <definedName name="SD_34x1_42x1_39_S_0" localSheetId="7" hidden="1">'FORM 1040-3'!$Q$27</definedName>
    <definedName name="SD_34x1_42x1_40_S_0" localSheetId="7" hidden="1">'FORM 1040-3'!$Q$36</definedName>
    <definedName name="SD_34x1_42x1_41_S_0" localSheetId="7" hidden="1">'FORM 1040-3'!$Q$40</definedName>
    <definedName name="SD_34x1_42x1_42_S_0" localSheetId="7" hidden="1">'FORM 1040-3'!$Q$38</definedName>
    <definedName name="SD_34x1_42x1_44_S_0" localSheetId="7" hidden="1">'FORM 1040-3'!$Q$39</definedName>
    <definedName name="SD_34x1_42x1_45_S_0" localSheetId="7" hidden="1">'FORM 1040-3'!$Q$11</definedName>
    <definedName name="SD_34x1_42x1_46_S_0" localSheetId="7" hidden="1">'FORM 1040-3'!$Q$12</definedName>
    <definedName name="SD_34x1_42x1_5_S_0" localSheetId="7" hidden="1">'FORM 1040-3'!$Q$16</definedName>
    <definedName name="SD_34x1_42x1_52_S_0" localSheetId="5" hidden="1">'FORM 1040-2'!$S$61</definedName>
    <definedName name="SD_34x1_42x1_6_S_0" localSheetId="7" hidden="1">'FORM 1040-3'!$Q$15</definedName>
    <definedName name="SD_34x1_42x1_62_S_0" localSheetId="8" hidden="1">'FORM 1040-4'!$Q$11</definedName>
    <definedName name="SD_34x1_42x1_63_S_0" localSheetId="8" hidden="1">'FORM 1040-4'!$Q$13</definedName>
    <definedName name="SD_34x1_42x1_64_S_0" localSheetId="8" hidden="1">'FORM 1040-4'!$Q$14</definedName>
    <definedName name="SD_34x1_42x1_65_S_0" localSheetId="8" hidden="1">'FORM 1040-4'!$Q$15</definedName>
    <definedName name="SD_34x1_42x1_66_S_0" localSheetId="8" hidden="1">'FORM 1040-4'!$Q$16</definedName>
    <definedName name="SD_34x1_42x1_67_S_0" localSheetId="8" hidden="1">'FORM 1040-4'!$Q$17</definedName>
    <definedName name="SD_34x1_42x1_68_S_0" localSheetId="8" hidden="1">'FORM 1040-4'!$Q$18</definedName>
    <definedName name="SD_34x1_42x1_69_S_0" localSheetId="8" hidden="1">'FORM 1040-4'!$Q$19</definedName>
    <definedName name="SD_34x1_42x1_70_S_0" localSheetId="8" hidden="1">'FORM 1040-4'!$Q$20</definedName>
    <definedName name="SD_34x1_42x1_71_S_0" localSheetId="8" hidden="1">'FORM 1040-4'!$Q$21</definedName>
    <definedName name="SD_34x1_42x1_72_S_0" localSheetId="8" hidden="1">'FORM 1040-4'!$Q$22</definedName>
    <definedName name="SD_34x1_42x1_73_S_0" localSheetId="8" hidden="1">'FORM 1040-4'!$Q$23</definedName>
    <definedName name="SD_34x1_42x1_74_S_0" localSheetId="8" hidden="1">'FORM 1040-4'!$Q$24</definedName>
    <definedName name="SD_34x1_42x1_75_S_0" localSheetId="8" hidden="1">'FORM 1040-4'!$Q$25</definedName>
    <definedName name="SD_34x1_42x1_76_S_0" localSheetId="8" hidden="1">'FORM 1040-4'!$Q$26</definedName>
    <definedName name="SD_34x1_42x1_77_S_0" localSheetId="8" hidden="1">'FORM 1040-4'!$Q$27</definedName>
    <definedName name="SD_34x1_42x1_78_S_0" localSheetId="8" hidden="1">'FORM 1040-4'!$Q$28</definedName>
    <definedName name="SD_34x1_42x1_79_S_0" localSheetId="8" hidden="1">'FORM 1040-4'!$Q$29</definedName>
    <definedName name="SD_34x1_42x1_8_S_0" localSheetId="7" hidden="1">'FORM 1040-3'!$Q$17</definedName>
    <definedName name="SD_34x1_42x1_80_S_0" localSheetId="8" hidden="1">'FORM 1040-4'!$Q$30</definedName>
    <definedName name="SD_34x1_42x1_81_S_0" localSheetId="8" hidden="1">'FORM 1040-4'!$Q$31</definedName>
    <definedName name="SD_34x1_42x1_9_S_0" localSheetId="7" hidden="1">'FORM 1040-3'!$Q$18</definedName>
    <definedName name="SD_34x1_4467x1_17_S_1" localSheetId="5" hidden="1">'FORM 1040-2'!$AH$6</definedName>
    <definedName name="SD_34x1_4467x1_18_S_0" localSheetId="5" hidden="1">'FORM 1040-2'!$AT$46</definedName>
    <definedName name="SD_34x1_4467x1_19_S_0" localSheetId="5" hidden="1">'FORM 1040-2'!$AH$42</definedName>
    <definedName name="SD_34x1_4467x1_20_S_0" localSheetId="5" hidden="1">'FORM 1040-2'!$AH$46</definedName>
    <definedName name="SD_34x1_4467x2_17_S_1" localSheetId="5" hidden="1">'FORM 1040-2'!$AI$6</definedName>
    <definedName name="SD_34x1_4467x2_18_S_0" localSheetId="5" hidden="1">'FORM 1040-2'!$AU$46</definedName>
    <definedName name="SD_34x1_4467x2_19_S_0" localSheetId="5" hidden="1">'FORM 1040-2'!$AI$42</definedName>
    <definedName name="SD_34x1_4467x2_20_S_0" localSheetId="5" hidden="1">'FORM 1040-2'!$AI$46</definedName>
    <definedName name="SD_34x1_4467x3_17_S_1" localSheetId="5" hidden="1">'FORM 1040-2'!$AJ$6</definedName>
    <definedName name="SD_34x1_4467x3_18_S_0" localSheetId="5" hidden="1">'FORM 1040-2'!$AV$46</definedName>
    <definedName name="SD_34x1_4467x3_19_S_0" localSheetId="5" hidden="1">'FORM 1040-2'!$AJ$42</definedName>
    <definedName name="SD_34x1_4467x3_20_S_0" localSheetId="5" hidden="1">'FORM 1040-2'!$AJ$46</definedName>
    <definedName name="SD_34x1_4467x4_17_S_1" localSheetId="5" hidden="1">'FORM 1040-2'!$AK$6</definedName>
    <definedName name="SD_34x1_4467x4_18_S_0" localSheetId="5" hidden="1">'FORM 1040-2'!$AW$46</definedName>
    <definedName name="SD_34x1_4467x4_19_S_0" localSheetId="5" hidden="1">'FORM 1040-2'!$AK$42</definedName>
    <definedName name="SD_34x1_4467x4_20_S_0" localSheetId="5" hidden="1">'FORM 1040-2'!$AK$46</definedName>
    <definedName name="SD_34x1_4467x5_17_S_1" localSheetId="5" hidden="1">'FORM 1040-2'!$AL$6</definedName>
    <definedName name="SD_34x1_4467x5_18_S_0" localSheetId="5" hidden="1">'FORM 1040-2'!$AX$46</definedName>
    <definedName name="SD_34x1_4467x5_19_S_0" localSheetId="5" hidden="1">'FORM 1040-2'!$AL$42</definedName>
    <definedName name="SD_34x1_4467x5_20_S_0" localSheetId="5" hidden="1">'FORM 1040-2'!$AL$46</definedName>
    <definedName name="SD_34x1_464_S_0" localSheetId="38" hidden="1">'FORM 1040-27'!$AH$43</definedName>
    <definedName name="SD_34x1_465_S_0" localSheetId="38" hidden="1">'FORM 1040-27'!$AH$39</definedName>
    <definedName name="SD_34x1_466_S_0" localSheetId="38" hidden="1">'FORM 1040-27'!$AH$41</definedName>
    <definedName name="SD_34x1_467_S_0" localSheetId="0" hidden="1">'FORM 1040-1'!$Y$32</definedName>
    <definedName name="SD_34x1_468_S_0" localSheetId="0" hidden="1">'FORM 1040-1'!$Y$36</definedName>
    <definedName name="SD_34x1_469_S_0" localSheetId="0" hidden="1">'FORM 1040-1'!$AB$36</definedName>
    <definedName name="SD_34x1_47_S_0" localSheetId="26" hidden="1">'FORM 1040-15a'!$O$23</definedName>
    <definedName name="SD_34x1_470_S_0" localSheetId="0" hidden="1">'FORM 1040-1'!$AD$36</definedName>
    <definedName name="SD_34x1_471_S_0" localSheetId="0" hidden="1">'FORM 1040-1'!$Y$33</definedName>
    <definedName name="SD_34x1_472_S_0" localSheetId="0" hidden="1">'FORM 1040-1'!$AF$33</definedName>
    <definedName name="SD_34x1_474_S_0" localSheetId="0" hidden="1">'FORM 1040-1'!$AL$33</definedName>
    <definedName name="SD_34x1_475_S_0" localSheetId="0" hidden="1">'FORM 1040-1'!$Y$41</definedName>
    <definedName name="SD_34x1_476_S_0" localSheetId="0" hidden="1">'FORM 1040-1'!$AI$36</definedName>
    <definedName name="SD_34x1_478_S_0" localSheetId="0" hidden="1">'FORM 1040-1'!$Y$39</definedName>
    <definedName name="SD_34x1_479_S_0" localSheetId="41" hidden="1">'FORM 1040-30'!$T$15</definedName>
    <definedName name="SD_34x1_48_S_0" localSheetId="26" hidden="1">'FORM 1040-15a'!$O$31</definedName>
    <definedName name="SD_34x1_480_S_0" localSheetId="41" hidden="1">'FORM 1040-30'!$T$14</definedName>
    <definedName name="SD_34x1_481_S_0" localSheetId="41" hidden="1">'FORM 1040-30'!$Y$15</definedName>
    <definedName name="SD_34x1_482_S_0" localSheetId="41" hidden="1">'FORM 1040-30'!$T$39</definedName>
    <definedName name="SD_34x1_483_S_0" localSheetId="41" hidden="1">'FORM 1040-30'!$T$38</definedName>
    <definedName name="SD_34x1_484_S_0" localSheetId="41" hidden="1">'FORM 1040-30'!$Y$39</definedName>
    <definedName name="SD_34x1_485_S_0" localSheetId="41" hidden="1">'FORM 1040-30'!$T$51</definedName>
    <definedName name="SD_34x1_486_S_0" localSheetId="41" hidden="1">'FORM 1040-30'!$T$50</definedName>
    <definedName name="SD_34x1_487_S_0" localSheetId="41" hidden="1">'FORM 1040-30'!$Y$51</definedName>
    <definedName name="SD_34x1_488_S_0" localSheetId="41" hidden="1">'FORM 1040-30'!$T$43</definedName>
    <definedName name="SD_34x1_489_S_0" localSheetId="41" hidden="1">'FORM 1040-30'!$T$42</definedName>
    <definedName name="SD_34x1_49_S_0" localSheetId="26" hidden="1">'FORM 1040-15a'!$O$25</definedName>
    <definedName name="SD_34x1_490_S_0" localSheetId="41" hidden="1">'FORM 1040-30'!$Y$43</definedName>
    <definedName name="SD_34x1_491_S_0" localSheetId="41" hidden="1">'FORM 1040-30'!$T$23</definedName>
    <definedName name="SD_34x1_492_S_0" localSheetId="41" hidden="1">'FORM 1040-30'!$T$22</definedName>
    <definedName name="SD_34x1_493_S_0" localSheetId="41" hidden="1">'FORM 1040-30'!$Y$23</definedName>
    <definedName name="SD_34x1_494_S_0" localSheetId="26" hidden="1">'FORM 1040-15a'!$O$7</definedName>
    <definedName name="SD_34x1_495_S_0" localSheetId="26" hidden="1">'FORM 1040-15a'!$O$11</definedName>
    <definedName name="SD_34x1_496_S_0" localSheetId="26" hidden="1">'FORM 1040-15a'!$O$14</definedName>
    <definedName name="SD_34x1_497_S_0" localSheetId="26" hidden="1">'FORM 1040-15a'!$O$17</definedName>
    <definedName name="SD_34x1_49x1_15_S_0" localSheetId="7" hidden="1">'FORM 1040-3'!$U$20</definedName>
    <definedName name="SD_34x1_49x1_16_S_0" localSheetId="7" hidden="1">'FORM 1040-3'!$U$21</definedName>
    <definedName name="SD_34x1_49x1_17_S_0" localSheetId="7" hidden="1">'FORM 1040-3'!$U$22</definedName>
    <definedName name="SD_34x1_49x1_18_S_0" localSheetId="7" hidden="1">'FORM 1040-3'!$U$23</definedName>
    <definedName name="SD_34x1_49x1_19_S_0" localSheetId="7" hidden="1">'FORM 1040-3'!$U$14</definedName>
    <definedName name="SD_34x1_49x1_21_S_0" localSheetId="7" hidden="1">'FORM 1040-3'!$U$24</definedName>
    <definedName name="SD_34x1_49x1_22_S_0" localSheetId="7" hidden="1">'FORM 1040-3'!$U$25</definedName>
    <definedName name="SD_34x1_49x1_23_S_0" localSheetId="7" hidden="1">'FORM 1040-3'!$U$26</definedName>
    <definedName name="SD_34x1_49x1_26_S_0" localSheetId="7" hidden="1">'FORM 1040-3'!$U$32</definedName>
    <definedName name="SD_34x1_49x1_27_S_0" localSheetId="7" hidden="1">'FORM 1040-3'!$U$31</definedName>
    <definedName name="SD_34x1_49x1_28_S_0" localSheetId="7" hidden="1">'FORM 1040-3'!$U$34</definedName>
    <definedName name="SD_34x1_49x1_29_S_0" localSheetId="7" hidden="1">'FORM 1040-3'!$U$33</definedName>
    <definedName name="SD_34x1_49x1_30_S_0" localSheetId="7" hidden="1">'FORM 1040-3'!$U$30</definedName>
    <definedName name="SD_34x1_49x1_31_S_0" localSheetId="7" hidden="1">'FORM 1040-3'!$U$29</definedName>
    <definedName name="SD_34x1_49x1_32_S_0" localSheetId="7" hidden="1">'FORM 1040-3'!$U$28</definedName>
    <definedName name="SD_34x1_49x1_37_S_0" localSheetId="7" hidden="1">'FORM 1040-3'!$U$37</definedName>
    <definedName name="SD_34x1_49x1_39_S_0" localSheetId="7" hidden="1">'FORM 1040-3'!$U$27</definedName>
    <definedName name="SD_34x1_49x1_40_S_0" localSheetId="7" hidden="1">'FORM 1040-3'!$U$36</definedName>
    <definedName name="SD_34x1_49x1_44_S_0" localSheetId="7" hidden="1">'FORM 1040-3'!$U$39</definedName>
    <definedName name="SD_34x1_49x1_46_S_0" localSheetId="7" hidden="1">'FORM 1040-3'!$U$12</definedName>
    <definedName name="SD_34x1_49x1_47_S_0" localSheetId="9" hidden="1">'FORM 1040-5'!$O$30</definedName>
    <definedName name="SD_34x1_49x1_48_S_0" localSheetId="9" hidden="1">'FORM 1040-5'!$O$32</definedName>
    <definedName name="SD_34x1_49x1_49_S_0" localSheetId="9" hidden="1">'FORM 1040-5'!$O$28</definedName>
    <definedName name="SD_34x1_49x1_5_S_0" localSheetId="7" hidden="1">'FORM 1040-3'!$U$16</definedName>
    <definedName name="SD_34x1_49x1_50_S_0" localSheetId="9" hidden="1">'FORM 1040-5'!$O$31</definedName>
    <definedName name="SD_34x1_49x1_52_S_0" localSheetId="9" hidden="1">'FORM 1040-5'!$O$42</definedName>
    <definedName name="SD_34x1_49x1_53_S_0" localSheetId="9" hidden="1">'FORM 1040-5'!$O$50</definedName>
    <definedName name="SD_34x1_49x1_6_S_0" localSheetId="7" hidden="1">'FORM 1040-3'!$U$15</definedName>
    <definedName name="SD_34x1_49x1_62_S_0" localSheetId="8" hidden="1">'FORM 1040-4'!$U$11</definedName>
    <definedName name="SD_34x1_49x1_63_S_0" localSheetId="8" hidden="1">'FORM 1040-4'!$U$13</definedName>
    <definedName name="SD_34x1_49x1_64_S_0" localSheetId="8" hidden="1">'FORM 1040-4'!$U$14</definedName>
    <definedName name="SD_34x1_49x1_65_S_0" localSheetId="8" hidden="1">'FORM 1040-4'!$U$15</definedName>
    <definedName name="SD_34x1_49x1_66_S_0" localSheetId="8" hidden="1">'FORM 1040-4'!$U$16</definedName>
    <definedName name="SD_34x1_49x1_71_S_0" localSheetId="8" hidden="1">'FORM 1040-4'!$U$21</definedName>
    <definedName name="SD_34x1_49x1_72_S_0" localSheetId="8" hidden="1">'FORM 1040-4'!$U$22</definedName>
    <definedName name="SD_34x1_49x1_73_S_0" localSheetId="8" hidden="1">'FORM 1040-4'!$U$23</definedName>
    <definedName name="SD_34x1_49x1_74_S_0" localSheetId="8" hidden="1">'FORM 1040-4'!$U$24</definedName>
    <definedName name="SD_34x1_49x1_75_S_0" localSheetId="8" hidden="1">'FORM 1040-4'!$U$25</definedName>
    <definedName name="SD_34x1_49x1_76_S_0" localSheetId="8" hidden="1">'FORM 1040-4'!$U$26</definedName>
    <definedName name="SD_34x1_49x1_77_S_0" localSheetId="8" hidden="1">'FORM 1040-4'!$U$27</definedName>
    <definedName name="SD_34x1_49x1_78_S_0" localSheetId="8" hidden="1">'FORM 1040-4'!$U$28</definedName>
    <definedName name="SD_34x1_49x1_79_S_0" localSheetId="8" hidden="1">'FORM 1040-4'!$U$29</definedName>
    <definedName name="SD_34x1_49x1_8_S_0" localSheetId="7" hidden="1">'FORM 1040-3'!$U$17</definedName>
    <definedName name="SD_34x1_49x1_80_S_0" localSheetId="8" hidden="1">'FORM 1040-4'!$U$30</definedName>
    <definedName name="SD_34x1_49x1_81_S_0" localSheetId="8" hidden="1">'FORM 1040-4'!$U$31</definedName>
    <definedName name="SD_34x1_49x1_9_S_0" localSheetId="7" hidden="1">'FORM 1040-3'!$U$18</definedName>
    <definedName name="SD_34x1_50_S_0" localSheetId="38" hidden="1">'FORM 1040-27'!$AD$21</definedName>
    <definedName name="SD_34x1_500_S_0" localSheetId="26" hidden="1">'FORM 1040-15a'!$O$20</definedName>
    <definedName name="SD_34x1_502_S_0" localSheetId="29" hidden="1">'FORM 1040-18'!$AB$53</definedName>
    <definedName name="SD_34x1_503_S_0" localSheetId="29" hidden="1">'FORM 1040-18'!$AB$57</definedName>
    <definedName name="SD_34x1_504_S_0" localSheetId="29" hidden="1">'FORM 1040-18'!$AB$55</definedName>
    <definedName name="SD_34x1_505_S_0" localSheetId="29" hidden="1">'FORM 1040-18'!$AB$59</definedName>
    <definedName name="SD_34x1_506_S_0" localSheetId="37" hidden="1">'FORM 1040-26'!$AM$15</definedName>
    <definedName name="SD_34x1_507_S_0" localSheetId="17" hidden="1">'FORM 1040-9'!$AB$36</definedName>
    <definedName name="SD_34x1_508_S_0" localSheetId="17" hidden="1">'FORM 1040-9'!$AD$36</definedName>
    <definedName name="SD_34x1_509_S_0" localSheetId="17" hidden="1">'FORM 1040-9'!$AE$36</definedName>
    <definedName name="SD_34x1_510_S_0" localSheetId="17" hidden="1">'FORM 1040-9'!$AF$36</definedName>
    <definedName name="SD_34x1_511_S_0" localSheetId="17" hidden="1">'FORM 1040-9'!$AA$36</definedName>
    <definedName name="SD_34x1_512_S_1" localSheetId="0" hidden="1">'FORM 1040-1'!$AI$33</definedName>
    <definedName name="SD_34x1_513_S_1" localSheetId="26" hidden="1">'FORM 1040-15a'!$O$18</definedName>
    <definedName name="SD_34x1_516_S_0" localSheetId="0" hidden="1">'FORM 1040-1'!$AN$36</definedName>
    <definedName name="SD_34x1_517_S_0" localSheetId="27" hidden="1">'FORM 1040-24'!$AD$11</definedName>
    <definedName name="SD_34x1_52_S_0" localSheetId="38" hidden="1">'FORM 1040-2'!$Y$44</definedName>
    <definedName name="SD_34x1_521_S_0" localSheetId="8" hidden="1">'FORM 1040-4'!$O$12</definedName>
    <definedName name="SD_34x1_522_S_0" localSheetId="8" hidden="1">'FORM 1040-4'!$O$13</definedName>
    <definedName name="SD_34x1_523_S_0" localSheetId="8" hidden="1">'FORM 1040-4'!$O$14</definedName>
    <definedName name="SD_34x1_524_S_0" localSheetId="8" hidden="1">'FORM 1040-4'!$O$15</definedName>
    <definedName name="SD_34x1_525_S_0" localSheetId="8" hidden="1">'FORM 1040-4'!$O$16</definedName>
    <definedName name="SD_34x1_526_S_0" localSheetId="8" hidden="1">'FORM 1040-4'!$O$17</definedName>
    <definedName name="SD_34x1_527_S_0" localSheetId="8" hidden="1">'FORM 1040-4'!$O$18</definedName>
    <definedName name="SD_34x1_528_S_0" localSheetId="8" hidden="1">'FORM 1040-4'!$O$19</definedName>
    <definedName name="SD_34x1_529_S_0" localSheetId="8" hidden="1">'FORM 1040-4'!$O$20</definedName>
    <definedName name="SD_34x1_530_S_0" localSheetId="8" hidden="1">'FORM 1040-4'!$O$21</definedName>
    <definedName name="SD_34x1_531_S_0" localSheetId="8" hidden="1">'FORM 1040-4'!$O$22</definedName>
    <definedName name="SD_34x1_532_S_0" localSheetId="8" hidden="1">'FORM 1040-4'!$O$23</definedName>
    <definedName name="SD_34x1_533_S_0" localSheetId="8" hidden="1">'FORM 1040-4'!$O$24</definedName>
    <definedName name="SD_34x1_534_S_0" localSheetId="8" hidden="1">'FORM 1040-4'!$O$25</definedName>
    <definedName name="SD_34x1_535_S_0" localSheetId="8" hidden="1">'FORM 1040-4'!$O$26</definedName>
    <definedName name="SD_34x1_536_S_0" localSheetId="8" hidden="1">'FORM 1040-4'!$O$27</definedName>
    <definedName name="SD_34x1_537_S_0" localSheetId="8" hidden="1">'FORM 1040-4'!$O$28</definedName>
    <definedName name="SD_34x1_538_S_0" localSheetId="8" hidden="1">'FORM 1040-4'!$O$29</definedName>
    <definedName name="SD_34x1_539_S_0" localSheetId="8" hidden="1">'FORM 1040-4'!$O$30</definedName>
    <definedName name="SD_34x1_54_S_0" localSheetId="38" hidden="1">'FORM 1040-2'!$Y$42</definedName>
    <definedName name="SD_34x1_540_S_0" localSheetId="8" hidden="1">'FORM 1040-4'!$O$31</definedName>
    <definedName name="SD_34x1_63x1_15_S_0" localSheetId="7" hidden="1">'FORM 1040-3'!$S$20</definedName>
    <definedName name="SD_34x1_63x1_16_S_0" localSheetId="7" hidden="1">'FORM 1040-3'!$S$21</definedName>
    <definedName name="SD_34x1_63x1_17_S_0" localSheetId="7" hidden="1">'FORM 1040-3'!$S$22</definedName>
    <definedName name="SD_34x1_63x1_18_S_0" localSheetId="7" hidden="1">'FORM 1040-3'!$S$23</definedName>
    <definedName name="SD_34x1_63x1_19_S_0" localSheetId="7" hidden="1">'FORM 1040-3'!$S$14</definedName>
    <definedName name="SD_34x1_63x1_21_S_0" localSheetId="7" hidden="1">'FORM 1040-3'!$S$24</definedName>
    <definedName name="SD_34x1_63x1_22_S_0" localSheetId="7" hidden="1">'FORM 1040-3'!$S$25</definedName>
    <definedName name="SD_34x1_63x1_23_S_0" localSheetId="7" hidden="1">'FORM 1040-3'!$S$26</definedName>
    <definedName name="SD_34x1_63x1_26_S_0" localSheetId="7" hidden="1">'FORM 1040-3'!$S$32</definedName>
    <definedName name="SD_34x1_63x1_27_S_0" localSheetId="7" hidden="1">'FORM 1040-3'!$S$31</definedName>
    <definedName name="SD_34x1_63x1_28_S_0" localSheetId="7" hidden="1">'FORM 1040-3'!$S$34</definedName>
    <definedName name="SD_34x1_63x1_29_S_0" localSheetId="7" hidden="1">'FORM 1040-3'!$S$33</definedName>
    <definedName name="SD_34x1_63x1_30_S_0" localSheetId="7" hidden="1">'FORM 1040-3'!$S$30</definedName>
    <definedName name="SD_34x1_63x1_31_S_0" localSheetId="7" hidden="1">'FORM 1040-3'!$S$29</definedName>
    <definedName name="SD_34x1_63x1_32_S_0" localSheetId="7" hidden="1">'FORM 1040-3'!$S$28</definedName>
    <definedName name="SD_34x1_63x1_37_S_0" localSheetId="7" hidden="1">'FORM 1040-3'!$S$37</definedName>
    <definedName name="SD_34x1_63x1_39_S_0" localSheetId="7" hidden="1">'FORM 1040-3'!$S$27</definedName>
    <definedName name="SD_34x1_63x1_40_S_0" localSheetId="7" hidden="1">'FORM 1040-3'!$S$36</definedName>
    <definedName name="SD_34x1_63x1_44_S_0" localSheetId="7" hidden="1">'FORM 1040-3'!$S$39</definedName>
    <definedName name="SD_34x1_63x1_47_S_0" localSheetId="9" hidden="1">'FORM 1040-5'!$M$30</definedName>
    <definedName name="SD_34x1_63x1_48_S_0" localSheetId="9" hidden="1">'FORM 1040-5'!$M$32</definedName>
    <definedName name="SD_34x1_63x1_49_S_0" localSheetId="9" hidden="1">'FORM 1040-5'!$M$28</definedName>
    <definedName name="SD_34x1_63x1_5_S_0" localSheetId="7" hidden="1">'FORM 1040-3'!$S$16</definedName>
    <definedName name="SD_34x1_63x1_50_S_0" localSheetId="9" hidden="1">'FORM 1040-5'!$M$31</definedName>
    <definedName name="SD_34x1_63x1_51_S_0" localSheetId="9" hidden="1">'FORM 1040-5'!$M$35</definedName>
    <definedName name="SD_34x1_63x1_52_S_0" localSheetId="9" hidden="1">'FORM 1040-5'!$M$42</definedName>
    <definedName name="SD_34x1_63x1_53_S_0" localSheetId="9" hidden="1">'FORM 1040-5'!$M$50</definedName>
    <definedName name="SD_34x1_63x1_6_S_0" localSheetId="7" hidden="1">'FORM 1040-3'!$S$15</definedName>
    <definedName name="SD_34x1_63x1_62_S_0" localSheetId="8" hidden="1">'FORM 1040-4'!$S$11</definedName>
    <definedName name="SD_34x1_63x1_63_S_0" localSheetId="8" hidden="1">'FORM 1040-4'!$S$13</definedName>
    <definedName name="SD_34x1_63x1_64_S_0" localSheetId="8" hidden="1">'FORM 1040-4'!$S$14</definedName>
    <definedName name="SD_34x1_63x1_65_S_0" localSheetId="8" hidden="1">'FORM 1040-4'!$S$15</definedName>
    <definedName name="SD_34x1_63x1_66_S_0" localSheetId="8" hidden="1">'FORM 1040-4'!$S$16</definedName>
    <definedName name="SD_34x1_63x1_71_S_0" localSheetId="8" hidden="1">'FORM 1040-4'!$S$21</definedName>
    <definedName name="SD_34x1_63x1_72_S_0" localSheetId="8" hidden="1">'FORM 1040-4'!$S$22</definedName>
    <definedName name="SD_34x1_63x1_73_S_0" localSheetId="8" hidden="1">'FORM 1040-4'!$S$23</definedName>
    <definedName name="SD_34x1_63x1_74_S_0" localSheetId="8" hidden="1">'FORM 1040-4'!$S$24</definedName>
    <definedName name="SD_34x1_63x1_75_S_0" localSheetId="8" hidden="1">'FORM 1040-4'!$S$25</definedName>
    <definedName name="SD_34x1_63x1_76_S_0" localSheetId="8" hidden="1">'FORM 1040-4'!$S$26</definedName>
    <definedName name="SD_34x1_63x1_77_S_0" localSheetId="8" hidden="1">'FORM 1040-4'!$S$27</definedName>
    <definedName name="SD_34x1_63x1_78_S_0" localSheetId="8" hidden="1">'FORM 1040-4'!$S$28</definedName>
    <definedName name="SD_34x1_63x1_79_S_0" localSheetId="8" hidden="1">'FORM 1040-4'!$S$29</definedName>
    <definedName name="SD_34x1_63x1_8_S_0" localSheetId="7" hidden="1">'FORM 1040-3'!$S$17</definedName>
    <definedName name="SD_34x1_63x1_80_S_0" localSheetId="8" hidden="1">'FORM 1040-4'!$S$30</definedName>
    <definedName name="SD_34x1_63x1_81_S_0" localSheetId="8" hidden="1">'FORM 1040-4'!$S$31</definedName>
    <definedName name="SD_34x1_63x1_9_S_0" localSheetId="7" hidden="1">'FORM 1040-3'!$S$18</definedName>
    <definedName name="SD_34x1_65_S_0" localSheetId="35" hidden="1">'FORM 1040-24'!$AD$38</definedName>
    <definedName name="SD_34x1_69_S_0" localSheetId="38" hidden="1">'FORM 1040-2'!$BA$42</definedName>
    <definedName name="SD_34x1_7026x1_10_S_0" localSheetId="5" hidden="1">'FORM 1040-2'!$AD$42</definedName>
    <definedName name="SD_34x1_7026x1_11_S_0" localSheetId="5" hidden="1">'FORM 1040-2'!$AD$48</definedName>
    <definedName name="SD_34x1_7026x1_12_S_0" localSheetId="5" hidden="1">'FORM 1040-2'!$AD$44</definedName>
    <definedName name="SD_34x1_7026x1_8_S_1" localSheetId="5" hidden="1">'FORM 1040-2'!$AD$50</definedName>
    <definedName name="SD_34x1_7026x1_9_S_0" localSheetId="5" hidden="1">'FORM 1040-2'!$AD$46</definedName>
    <definedName name="SD_34x1_7026x2_10_S_0" localSheetId="5" hidden="1">'FORM 1040-2'!$AE$42</definedName>
    <definedName name="SD_34x1_7026x2_11_S_0" localSheetId="5" hidden="1">'FORM 1040-2'!$AE$48</definedName>
    <definedName name="SD_34x1_7026x2_12_S_0" localSheetId="5" hidden="1">'FORM 1040-2'!$AE$44</definedName>
    <definedName name="SD_34x1_7026x2_8_S_1" localSheetId="5" hidden="1">'FORM 1040-2'!$AE$50</definedName>
    <definedName name="SD_34x1_7026x2_9_S_0" localSheetId="5" hidden="1">'FORM 1040-2'!$AE$46</definedName>
    <definedName name="SD_34x1_7026x3_10_S_0" localSheetId="5" hidden="1">'FORM 1040-2'!$AF$42</definedName>
    <definedName name="SD_34x1_7026x3_11_S_0" localSheetId="5" hidden="1">'FORM 1040-2'!$AF$48</definedName>
    <definedName name="SD_34x1_7026x3_12_S_0" localSheetId="5" hidden="1">'FORM 1040-2'!$AF$44</definedName>
    <definedName name="SD_34x1_7026x3_8_S_1" localSheetId="5" hidden="1">'FORM 1040-2'!$AF$50</definedName>
    <definedName name="SD_34x1_7026x3_9_S_0" localSheetId="5" hidden="1">'FORM 1040-2'!$AF$46</definedName>
    <definedName name="SD_34x1_7026x4_10_S_0" localSheetId="5" hidden="1">'FORM 1040-2'!$X$42</definedName>
    <definedName name="SD_34x1_7026x4_11_S_0" localSheetId="5" hidden="1">'FORM 1040-2'!$X$48</definedName>
    <definedName name="SD_34x1_7026x4_12_S_0" localSheetId="5" hidden="1">'FORM 1040-2'!$X$44</definedName>
    <definedName name="SD_34x1_7026x4_8_S_1" localSheetId="5" hidden="1">'FORM 1040-2'!$X$50</definedName>
    <definedName name="SD_34x1_7026x4_9_S_0" localSheetId="5" hidden="1">'FORM 1040-2'!$X$46</definedName>
    <definedName name="SD_34x1_70x1_10_S_0" localSheetId="15" hidden="1">'FORM 1040-8'!$AT$12</definedName>
    <definedName name="SD_34x1_70x1_11_S_0" localSheetId="15" hidden="1">'FORM 1040-8'!$AT$33</definedName>
    <definedName name="SD_34x1_70x1_12_S_0" localSheetId="15" hidden="1">'FORM 1040-8'!$AL$33</definedName>
    <definedName name="SD_34x1_70x1_13_S_0" localSheetId="15" hidden="1">'FORM 1040-8'!$AO$33</definedName>
    <definedName name="SD_34x1_70x1_14_S_0" localSheetId="15" hidden="1">'FORM 1040-8'!$AP$33</definedName>
    <definedName name="SD_34x1_70x1_15_S_0" localSheetId="15" hidden="1">'FORM 1040-8'!$AF$33</definedName>
    <definedName name="SD_34x1_70x1_21_S_1" localSheetId="15" hidden="1">'FORM 1040-8'!$AQ$33</definedName>
    <definedName name="SD_34x1_70x1_7_S_0" localSheetId="15" hidden="1">'FORM 1040-8'!$AF$12</definedName>
    <definedName name="SD_34x1_70x1_8_S_0" localSheetId="15" hidden="1">'FORM 1040-8'!$AO$12</definedName>
    <definedName name="SD_34x1_70x1_9_S_0" localSheetId="15" hidden="1">'FORM 1040-8'!$AQ$12</definedName>
    <definedName name="SD_34x1_70x10_10_S_0" localSheetId="15" hidden="1">'FORM 1040-8'!$AT$21</definedName>
    <definedName name="SD_34x1_70x10_11_S_0" localSheetId="15" hidden="1">'FORM 1040-8'!$AT$42</definedName>
    <definedName name="SD_34x1_70x10_12_S_0" localSheetId="15" hidden="1">'FORM 1040-8'!$AL$42</definedName>
    <definedName name="SD_34x1_70x10_13_S_0" localSheetId="15" hidden="1">'FORM 1040-8'!$AO$42</definedName>
    <definedName name="SD_34x1_70x10_14_S_0" localSheetId="15" hidden="1">'FORM 1040-8'!$AP$42</definedName>
    <definedName name="SD_34x1_70x10_15_S_0" localSheetId="15" hidden="1">'FORM 1040-8'!$AF$42</definedName>
    <definedName name="SD_34x1_70x10_21_S_1" localSheetId="15" hidden="1">'FORM 1040-8'!$AQ$42</definedName>
    <definedName name="SD_34x1_70x10_7_S_0" localSheetId="15" hidden="1">'FORM 1040-8'!$AF$21</definedName>
    <definedName name="SD_34x1_70x10_8_S_0" localSheetId="15" hidden="1">'FORM 1040-8'!$AO$21</definedName>
    <definedName name="SD_34x1_70x10_9_S_0" localSheetId="15" hidden="1">'FORM 1040-8'!$AQ$21</definedName>
    <definedName name="SD_34x1_70x11_10_S_0" localSheetId="15" hidden="1">'FORM 1040-8'!$AT$22</definedName>
    <definedName name="SD_34x1_70x11_11_S_0" localSheetId="15" hidden="1">'FORM 1040-8'!$AT$43</definedName>
    <definedName name="SD_34x1_70x11_12_S_0" localSheetId="15" hidden="1">'FORM 1040-8'!$AL$43</definedName>
    <definedName name="SD_34x1_70x11_13_S_0" localSheetId="15" hidden="1">'FORM 1040-8'!$AO$43</definedName>
    <definedName name="SD_34x1_70x11_14_S_0" localSheetId="15" hidden="1">'FORM 1040-8'!$AP$43</definedName>
    <definedName name="SD_34x1_70x11_15_S_0" localSheetId="15" hidden="1">'FORM 1040-8'!$AF$43</definedName>
    <definedName name="SD_34x1_70x11_21_S_1" localSheetId="15" hidden="1">'FORM 1040-8'!$AQ$43</definedName>
    <definedName name="SD_34x1_70x11_7_S_0" localSheetId="15" hidden="1">'FORM 1040-8'!$AF$22</definedName>
    <definedName name="SD_34x1_70x11_8_S_0" localSheetId="15" hidden="1">'FORM 1040-8'!$AO$22</definedName>
    <definedName name="SD_34x1_70x11_9_S_0" localSheetId="15" hidden="1">'FORM 1040-8'!$AQ$22</definedName>
    <definedName name="SD_34x1_70x2_10_S_0" localSheetId="15" hidden="1">'FORM 1040-8'!$AT$13</definedName>
    <definedName name="SD_34x1_70x2_11_S_0" localSheetId="15" hidden="1">'FORM 1040-8'!$AT$34</definedName>
    <definedName name="SD_34x1_70x2_12_S_0" localSheetId="15" hidden="1">'FORM 1040-8'!$AL$34</definedName>
    <definedName name="SD_34x1_70x2_13_S_0" localSheetId="15" hidden="1">'FORM 1040-8'!$AO$34</definedName>
    <definedName name="SD_34x1_70x2_14_S_0" localSheetId="15" hidden="1">'FORM 1040-8'!$AP$34</definedName>
    <definedName name="SD_34x1_70x2_15_S_0" localSheetId="15" hidden="1">'FORM 1040-8'!$AF$34</definedName>
    <definedName name="SD_34x1_70x2_21_S_1" localSheetId="15" hidden="1">'FORM 1040-8'!$AQ$34</definedName>
    <definedName name="SD_34x1_70x2_7_S_0" localSheetId="15" hidden="1">'FORM 1040-8'!$AF$13</definedName>
    <definedName name="SD_34x1_70x2_8_S_0" localSheetId="15" hidden="1">'FORM 1040-8'!$AO$13</definedName>
    <definedName name="SD_34x1_70x2_9_S_0" localSheetId="15" hidden="1">'FORM 1040-8'!$AQ$13</definedName>
    <definedName name="SD_34x1_70x3_10_S_0" localSheetId="15" hidden="1">'FORM 1040-8'!$AT$14</definedName>
    <definedName name="SD_34x1_70x3_11_S_0" localSheetId="15" hidden="1">'FORM 1040-8'!$AT$35</definedName>
    <definedName name="SD_34x1_70x3_12_S_0" localSheetId="15" hidden="1">'FORM 1040-8'!$AL$35</definedName>
    <definedName name="SD_34x1_70x3_13_S_0" localSheetId="15" hidden="1">'FORM 1040-8'!$AO$35</definedName>
    <definedName name="SD_34x1_70x3_14_S_0" localSheetId="15" hidden="1">'FORM 1040-8'!$AP$35</definedName>
    <definedName name="SD_34x1_70x3_15_S_0" localSheetId="15" hidden="1">'FORM 1040-8'!$AF$35</definedName>
    <definedName name="SD_34x1_70x3_21_S_1" localSheetId="15" hidden="1">'FORM 1040-8'!$AQ$35</definedName>
    <definedName name="SD_34x1_70x3_7_S_0" localSheetId="15" hidden="1">'FORM 1040-8'!$AF$14</definedName>
    <definedName name="SD_34x1_70x3_8_S_0" localSheetId="15" hidden="1">'FORM 1040-8'!$AO$14</definedName>
    <definedName name="SD_34x1_70x3_9_S_0" localSheetId="15" hidden="1">'FORM 1040-8'!$AQ$14</definedName>
    <definedName name="SD_34x1_70x4_10_S_0" localSheetId="15" hidden="1">'FORM 1040-8'!$AT$15</definedName>
    <definedName name="SD_34x1_70x4_11_S_0" localSheetId="15" hidden="1">'FORM 1040-8'!$AT$36</definedName>
    <definedName name="SD_34x1_70x4_12_S_0" localSheetId="15" hidden="1">'FORM 1040-8'!$AL$36</definedName>
    <definedName name="SD_34x1_70x4_13_S_0" localSheetId="15" hidden="1">'FORM 1040-8'!$AO$36</definedName>
    <definedName name="SD_34x1_70x4_14_S_0" localSheetId="15" hidden="1">'FORM 1040-8'!$AP$36</definedName>
    <definedName name="SD_34x1_70x4_15_S_0" localSheetId="15" hidden="1">'FORM 1040-8'!$AF$36</definedName>
    <definedName name="SD_34x1_70x4_21_S_1" localSheetId="15" hidden="1">'FORM 1040-8'!$AQ$36</definedName>
    <definedName name="SD_34x1_70x4_7_S_0" localSheetId="15" hidden="1">'FORM 1040-8'!$AF$15</definedName>
    <definedName name="SD_34x1_70x4_8_S_0" localSheetId="15" hidden="1">'FORM 1040-8'!$AO$15</definedName>
    <definedName name="SD_34x1_70x4_9_S_0" localSheetId="15" hidden="1">'FORM 1040-8'!$AQ$15</definedName>
    <definedName name="SD_34x1_70x5_10_S_0" localSheetId="15" hidden="1">'FORM 1040-8'!$AT$16</definedName>
    <definedName name="SD_34x1_70x5_11_S_0" localSheetId="15" hidden="1">'FORM 1040-8'!$AT$37</definedName>
    <definedName name="SD_34x1_70x5_12_S_0" localSheetId="15" hidden="1">'FORM 1040-8'!$AL$37</definedName>
    <definedName name="SD_34x1_70x5_13_S_0" localSheetId="15" hidden="1">'FORM 1040-8'!$AO$37</definedName>
    <definedName name="SD_34x1_70x5_14_S_0" localSheetId="15" hidden="1">'FORM 1040-8'!$AP$37</definedName>
    <definedName name="SD_34x1_70x5_15_S_0" localSheetId="15" hidden="1">'FORM 1040-8'!$AF$37</definedName>
    <definedName name="SD_34x1_70x5_21_S_1" localSheetId="15" hidden="1">'FORM 1040-8'!$AQ$37</definedName>
    <definedName name="SD_34x1_70x5_7_S_0" localSheetId="15" hidden="1">'FORM 1040-8'!$AF$16</definedName>
    <definedName name="SD_34x1_70x5_8_S_0" localSheetId="15" hidden="1">'FORM 1040-8'!$AO$16</definedName>
    <definedName name="SD_34x1_70x5_9_S_0" localSheetId="15" hidden="1">'FORM 1040-8'!$AQ$16</definedName>
    <definedName name="SD_34x1_70x6_10_S_0" localSheetId="15" hidden="1">'FORM 1040-8'!$AT$17</definedName>
    <definedName name="SD_34x1_70x6_11_S_0" localSheetId="15" hidden="1">'FORM 1040-8'!$AT$38</definedName>
    <definedName name="SD_34x1_70x6_12_S_0" localSheetId="15" hidden="1">'FORM 1040-8'!$AL$38</definedName>
    <definedName name="SD_34x1_70x6_13_S_0" localSheetId="15" hidden="1">'FORM 1040-8'!$AO$38</definedName>
    <definedName name="SD_34x1_70x6_14_S_0" localSheetId="15" hidden="1">'FORM 1040-8'!$AP$38</definedName>
    <definedName name="SD_34x1_70x6_15_S_0" localSheetId="15" hidden="1">'FORM 1040-8'!$AF$38</definedName>
    <definedName name="SD_34x1_70x6_21_S_1" localSheetId="15" hidden="1">'FORM 1040-8'!$AQ$38</definedName>
    <definedName name="SD_34x1_70x6_7_S_0" localSheetId="15" hidden="1">'FORM 1040-8'!$AF$17</definedName>
    <definedName name="SD_34x1_70x6_8_S_0" localSheetId="15" hidden="1">'FORM 1040-8'!$AO$17</definedName>
    <definedName name="SD_34x1_70x6_9_S_0" localSheetId="15" hidden="1">'FORM 1040-8'!$AQ$17</definedName>
    <definedName name="SD_34x1_70x7_10_S_0" localSheetId="15" hidden="1">'FORM 1040-8'!$AT$18</definedName>
    <definedName name="SD_34x1_70x7_11_S_0" localSheetId="15" hidden="1">'FORM 1040-8'!$AT$39</definedName>
    <definedName name="SD_34x1_70x7_12_S_0" localSheetId="15" hidden="1">'FORM 1040-8'!$AL$39</definedName>
    <definedName name="SD_34x1_70x7_13_S_0" localSheetId="15" hidden="1">'FORM 1040-8'!$AO$39</definedName>
    <definedName name="SD_34x1_70x7_14_S_0" localSheetId="15" hidden="1">'FORM 1040-8'!$AP$39</definedName>
    <definedName name="SD_34x1_70x7_15_S_0" localSheetId="15" hidden="1">'FORM 1040-8'!$AF$39</definedName>
    <definedName name="SD_34x1_70x7_21_S_1" localSheetId="15" hidden="1">'FORM 1040-8'!$AQ$39</definedName>
    <definedName name="SD_34x1_70x7_7_S_0" localSheetId="15" hidden="1">'FORM 1040-8'!$AF$18</definedName>
    <definedName name="SD_34x1_70x7_8_S_0" localSheetId="15" hidden="1">'FORM 1040-8'!$AO$18</definedName>
    <definedName name="SD_34x1_70x7_9_S_0" localSheetId="15" hidden="1">'FORM 1040-8'!$AQ$18</definedName>
    <definedName name="SD_34x1_70x8_10_S_0" localSheetId="15" hidden="1">'FORM 1040-8'!$AT$19</definedName>
    <definedName name="SD_34x1_70x8_11_S_0" localSheetId="15" hidden="1">'FORM 1040-8'!$AT$40</definedName>
    <definedName name="SD_34x1_70x8_12_S_0" localSheetId="15" hidden="1">'FORM 1040-8'!$AL$40</definedName>
    <definedName name="SD_34x1_70x8_13_S_0" localSheetId="15" hidden="1">'FORM 1040-8'!$AO$40</definedName>
    <definedName name="SD_34x1_70x8_14_S_0" localSheetId="15" hidden="1">'FORM 1040-8'!$AP$40</definedName>
    <definedName name="SD_34x1_70x8_15_S_0" localSheetId="15" hidden="1">'FORM 1040-8'!$AF$40</definedName>
    <definedName name="SD_34x1_70x8_21_S_1" localSheetId="15" hidden="1">'FORM 1040-8'!$AQ$40</definedName>
    <definedName name="SD_34x1_70x8_7_S_0" localSheetId="15" hidden="1">'FORM 1040-8'!$AF$19</definedName>
    <definedName name="SD_34x1_70x8_8_S_0" localSheetId="15" hidden="1">'FORM 1040-8'!$AO$19</definedName>
    <definedName name="SD_34x1_70x8_9_S_0" localSheetId="15" hidden="1">'FORM 1040-8'!$AQ$19</definedName>
    <definedName name="SD_34x1_70x9_10_S_0" localSheetId="15" hidden="1">'FORM 1040-8'!$AT$20</definedName>
    <definedName name="SD_34x1_70x9_11_S_0" localSheetId="15" hidden="1">'FORM 1040-8'!$AT$41</definedName>
    <definedName name="SD_34x1_70x9_12_S_0" localSheetId="15" hidden="1">'FORM 1040-8'!$AL$41</definedName>
    <definedName name="SD_34x1_70x9_13_S_0" localSheetId="15" hidden="1">'FORM 1040-8'!$AO$41</definedName>
    <definedName name="SD_34x1_70x9_14_S_0" localSheetId="15" hidden="1">'FORM 1040-8'!$AP$41</definedName>
    <definedName name="SD_34x1_70x9_15_S_0" localSheetId="15" hidden="1">'FORM 1040-8'!$AF$41</definedName>
    <definedName name="SD_34x1_70x9_21_S_1" localSheetId="15" hidden="1">'FORM 1040-8'!$AQ$41</definedName>
    <definedName name="SD_34x1_70x9_7_S_0" localSheetId="15" hidden="1">'FORM 1040-8'!$AF$20</definedName>
    <definedName name="SD_34x1_70x9_8_S_0" localSheetId="15" hidden="1">'FORM 1040-8'!$AO$20</definedName>
    <definedName name="SD_34x1_70x9_9_S_0" localSheetId="15" hidden="1">'FORM 1040-8'!$AQ$20</definedName>
    <definedName name="SD_34x1_71_S_0" localSheetId="38" hidden="1">'FORM 1040-2'!$BB$42</definedName>
    <definedName name="SD_34x1_73_S_0" localSheetId="38" hidden="1">'FORM 1040-2'!$BC$43</definedName>
    <definedName name="SD_34x1_77x1_100_S_0" localSheetId="47" hidden="1">'LIHTCP SCORESHEET'!#REF!</definedName>
    <definedName name="SD_34x1_77x1_101_S_0" localSheetId="47" hidden="1">'LIHTCP SCORESHEET'!#REF!</definedName>
    <definedName name="SD_34x1_77x1_102_S_0" localSheetId="47" hidden="1">'LIHTCP SCORESHEET'!#REF!</definedName>
    <definedName name="SD_34x1_77x1_103_S_0" localSheetId="47" hidden="1">'LIHTCP SCORESHEET'!#REF!</definedName>
    <definedName name="SD_34x1_77x1_104_S_0" localSheetId="47" hidden="1">'LIHTCP SCORESHEET'!#REF!</definedName>
    <definedName name="SD_34x1_77x1_105_S_0" localSheetId="47" hidden="1">'LIHTCP SCORESHEET'!#REF!</definedName>
    <definedName name="SD_34x1_77x1_106_S_0" localSheetId="47" hidden="1">'LIHTCP SCORESHEET'!#REF!</definedName>
    <definedName name="SD_34x1_77x1_107_S_0" localSheetId="47" hidden="1">'LIHTCP SCORESHEET'!#REF!</definedName>
    <definedName name="SD_34x1_77x1_108_S_0" localSheetId="47" hidden="1">'LIHTCP SCORESHEET'!#REF!</definedName>
    <definedName name="SD_34x1_77x1_133_S_0" localSheetId="47" hidden="1">'LIHTCP SCORESHEET'!#REF!</definedName>
    <definedName name="SD_34x1_77x1_134_S_0" localSheetId="47" hidden="1">'LIHTCP SCORESHEET'!#REF!</definedName>
    <definedName name="SD_34x1_77x1_135_S_0" localSheetId="47" hidden="1">'LIHTCP SCORESHEET'!#REF!</definedName>
    <definedName name="SD_34x1_77x1_29_S_0" localSheetId="47" hidden="1">'LIHTCP SCORESHEET'!#REF!</definedName>
    <definedName name="SD_34x1_77x1_30_S_0" localSheetId="47" hidden="1">'LIHTCP SCORESHEET'!#REF!</definedName>
    <definedName name="SD_34x1_77x1_31_S_0" localSheetId="47" hidden="1">'LIHTCP SCORESHEET'!#REF!</definedName>
    <definedName name="SD_34x1_77x1_32_S_0" localSheetId="47" hidden="1">'LIHTCP SCORESHEET'!#REF!</definedName>
    <definedName name="SD_34x1_77x1_33_S_0" localSheetId="47" hidden="1">'LIHTCP SCORESHEET'!#REF!</definedName>
    <definedName name="SD_34x1_77x1_34_S_0" localSheetId="47" hidden="1">'LIHTCP SCORESHEET'!#REF!</definedName>
    <definedName name="SD_34x1_77x1_35_S_0" localSheetId="47" hidden="1">'LIHTCP SCORESHEET'!#REF!</definedName>
    <definedName name="SD_34x1_77x1_55_S_0" localSheetId="47" hidden="1">'LIHTCP SCORESHEET'!#REF!</definedName>
    <definedName name="SD_34x1_77x1_56_S_0" localSheetId="47" hidden="1">'LIHTCP SCORESHEET'!#REF!</definedName>
    <definedName name="SD_34x1_77x1_57_S_0" localSheetId="47" hidden="1">'LIHTCP SCORESHEET'!#REF!</definedName>
    <definedName name="SD_34x1_77x1_58_S_0" localSheetId="47" hidden="1">'LIHTCP SCORESHEET'!#REF!</definedName>
    <definedName name="SD_34x1_77x1_59_S_0" localSheetId="47" hidden="1">'LIHTCP SCORESHEET'!#REF!</definedName>
    <definedName name="SD_34x1_77x1_60_S_0" localSheetId="47" hidden="1">'LIHTCP SCORESHEET'!#REF!</definedName>
    <definedName name="SD_34x1_77x1_61_S_0" localSheetId="47" hidden="1">'LIHTCP SCORESHEET'!#REF!</definedName>
    <definedName name="SD_34x1_77x1_62_S_0" localSheetId="47" hidden="1">'LIHTCP SCORESHEET'!#REF!</definedName>
    <definedName name="SD_34x1_77x1_63_S_0" localSheetId="47" hidden="1">'LIHTCP SCORESHEET'!#REF!</definedName>
    <definedName name="SD_34x1_77x1_64_S_0" localSheetId="47" hidden="1">'LIHTCP SCORESHEET'!#REF!</definedName>
    <definedName name="SD_34x1_77x1_65_S_0" localSheetId="47" hidden="1">'LIHTCP SCORESHEET'!#REF!</definedName>
    <definedName name="SD_34x1_77x1_66_S_0" localSheetId="47" hidden="1">'LIHTCP SCORESHEET'!#REF!</definedName>
    <definedName name="SD_34x1_77x1_67_S_0" localSheetId="47" hidden="1">'LIHTCP SCORESHEET'!#REF!</definedName>
    <definedName name="SD_34x1_77x1_68_S_0" localSheetId="47" hidden="1">'LIHTCP SCORESHEET'!#REF!</definedName>
    <definedName name="SD_34x1_77x1_81_S_0" localSheetId="47" hidden="1">'LIHTCP SCORESHEET'!#REF!</definedName>
    <definedName name="SD_34x1_77x1_82_S_0" localSheetId="47" hidden="1">'LIHTCP SCORESHEET'!#REF!</definedName>
    <definedName name="SD_34x1_77x1_83_S_0" localSheetId="47" hidden="1">'LIHTCP SCORESHEET'!#REF!</definedName>
    <definedName name="SD_34x1_77x1_84_S_0" localSheetId="47" hidden="1">'LIHTCP SCORESHEET'!#REF!</definedName>
    <definedName name="SD_34x1_77x1_85_S_0" localSheetId="47" hidden="1">'LIHTCP SCORESHEET'!#REF!</definedName>
    <definedName name="SD_34x1_77x1_86_S_0" localSheetId="47" hidden="1">'LIHTCP SCORESHEET'!#REF!</definedName>
    <definedName name="SD_34x1_77x1_87_S_0" localSheetId="47" hidden="1">'LIHTCP SCORESHEET'!#REF!</definedName>
    <definedName name="SD_34x1_77x1_88_S_0" localSheetId="47" hidden="1">'LIHTCP SCORESHEET'!#REF!</definedName>
    <definedName name="SD_34x1_77x1_89_S_0" localSheetId="47" hidden="1">'LIHTCP SCORESHEET'!#REF!</definedName>
    <definedName name="SD_34x1_77x1_90_S_0" localSheetId="47" hidden="1">'LIHTCP SCORESHEET'!#REF!</definedName>
    <definedName name="SD_34x1_77x1_91_S_0" localSheetId="47" hidden="1">'LIHTCP SCORESHEET'!#REF!</definedName>
    <definedName name="SD_34x1_77x1_92_S_0" localSheetId="47" hidden="1">'LIHTCP SCORESHEET'!#REF!</definedName>
    <definedName name="SD_34x1_77x1_93_S_0" localSheetId="47" hidden="1">'LIHTCP SCORESHEET'!#REF!</definedName>
    <definedName name="SD_34x1_77x1_94_S_0" localSheetId="47" hidden="1">'LIHTCP SCORESHEET'!#REF!</definedName>
    <definedName name="SD_34x1_77x1_95_S_0" localSheetId="47" hidden="1">'LIHTCP SCORESHEET'!#REF!</definedName>
    <definedName name="SD_34x1_77x1_96_S_0" localSheetId="47" hidden="1">'LIHTCP SCORESHEET'!#REF!</definedName>
    <definedName name="SD_34x1_77x1_97_S_0" localSheetId="47" hidden="1">'LIHTCP SCORESHEET'!#REF!</definedName>
    <definedName name="SD_34x1_77x1_98_S_0" localSheetId="47" hidden="1">'LIHTCP SCORESHEET'!#REF!</definedName>
    <definedName name="SD_34x1_77x1_99_S_0" localSheetId="47" hidden="1">'LIHTCP SCORESHEET'!#REF!</definedName>
    <definedName name="SD_34x1_78_S_0" localSheetId="38" hidden="1">'FORM 1040-27'!$AH$37</definedName>
    <definedName name="SD_34x1_78x1_10_S_0" localSheetId="5" hidden="1">'FORM 1040-2'!$U$7</definedName>
    <definedName name="SD_34x1_78x1_17_S_1" localSheetId="5" hidden="1">'FORM 1040-2'!$T$7</definedName>
    <definedName name="SD_34x1_78x1_20_S_1" localSheetId="5" hidden="1">'FORM 1040-2'!$N$7</definedName>
    <definedName name="SD_34x1_78x1_8_S_0" localSheetId="5" hidden="1">'FORM 1040-2'!$R$7</definedName>
    <definedName name="SD_34x1_78x1_9_S_0" localSheetId="5" hidden="1">'FORM 1040-2'!$O$7</definedName>
    <definedName name="SD_34x1_78x10_10_S_0" localSheetId="5" hidden="1">'FORM 1040-2'!$U$16</definedName>
    <definedName name="SD_34x1_78x10_17_S_1" localSheetId="5" hidden="1">'FORM 1040-2'!$T$16</definedName>
    <definedName name="SD_34x1_78x10_20_S_1" localSheetId="5" hidden="1">'FORM 1040-2'!$N$16</definedName>
    <definedName name="SD_34x1_78x10_8_S_0" localSheetId="5" hidden="1">'FORM 1040-2'!$R$16</definedName>
    <definedName name="SD_34x1_78x10_9_S_0" localSheetId="5" hidden="1">'FORM 1040-2'!$O$16</definedName>
    <definedName name="SD_34x1_78x11_10_S_0" localSheetId="5" hidden="1">'FORM 1040-2'!$U$17</definedName>
    <definedName name="SD_34x1_78x11_17_S_1" localSheetId="5" hidden="1">'FORM 1040-2'!$T$17</definedName>
    <definedName name="SD_34x1_78x11_20_S_1" localSheetId="5" hidden="1">'FORM 1040-2'!$N$17</definedName>
    <definedName name="SD_34x1_78x11_8_S_0" localSheetId="5" hidden="1">'FORM 1040-2'!$R$17</definedName>
    <definedName name="SD_34x1_78x11_9_S_0" localSheetId="5" hidden="1">'FORM 1040-2'!$O$17</definedName>
    <definedName name="SD_34x1_78x12_10_S_0" localSheetId="5" hidden="1">'FORM 1040-2'!$U$18</definedName>
    <definedName name="SD_34x1_78x12_17_S_1" localSheetId="5" hidden="1">'FORM 1040-2'!$T$18</definedName>
    <definedName name="SD_34x1_78x12_20_S_1" localSheetId="5" hidden="1">'FORM 1040-2'!$N$18</definedName>
    <definedName name="SD_34x1_78x12_8_S_0" localSheetId="5" hidden="1">'FORM 1040-2'!$R$18</definedName>
    <definedName name="SD_34x1_78x12_9_S_0" localSheetId="5" hidden="1">'FORM 1040-2'!$O$18</definedName>
    <definedName name="SD_34x1_78x13_10_S_0" localSheetId="5" hidden="1">'FORM 1040-2'!$U$19</definedName>
    <definedName name="SD_34x1_78x13_17_S_1" localSheetId="5" hidden="1">'FORM 1040-2'!$T$19</definedName>
    <definedName name="SD_34x1_78x13_20_S_1" localSheetId="5" hidden="1">'FORM 1040-2'!$N$19</definedName>
    <definedName name="SD_34x1_78x13_8_S_0" localSheetId="5" hidden="1">'FORM 1040-2'!$R$19</definedName>
    <definedName name="SD_34x1_78x13_9_S_0" localSheetId="5" hidden="1">'FORM 1040-2'!$O$19</definedName>
    <definedName name="SD_34x1_78x14_10_S_0" localSheetId="5" hidden="1">'FORM 1040-2'!$U$20</definedName>
    <definedName name="SD_34x1_78x14_17_S_1" localSheetId="5" hidden="1">'FORM 1040-2'!$T$20</definedName>
    <definedName name="SD_34x1_78x14_20_S_1" localSheetId="5" hidden="1">'FORM 1040-2'!$N$20</definedName>
    <definedName name="SD_34x1_78x14_8_S_0" localSheetId="5" hidden="1">'FORM 1040-2'!$R$20</definedName>
    <definedName name="SD_34x1_78x14_9_S_0" localSheetId="5" hidden="1">'FORM 1040-2'!$O$20</definedName>
    <definedName name="SD_34x1_78x15_10_S_0" localSheetId="5" hidden="1">'FORM 1040-2'!$U$21</definedName>
    <definedName name="SD_34x1_78x15_17_S_1" localSheetId="5" hidden="1">'FORM 1040-2'!$T$21</definedName>
    <definedName name="SD_34x1_78x15_20_S_1" localSheetId="5" hidden="1">'FORM 1040-2'!$N$21</definedName>
    <definedName name="SD_34x1_78x15_8_S_0" localSheetId="5" hidden="1">'FORM 1040-2'!$R$21</definedName>
    <definedName name="SD_34x1_78x15_9_S_0" localSheetId="5" hidden="1">'FORM 1040-2'!$O$21</definedName>
    <definedName name="SD_34x1_78x16_10_S_0" localSheetId="5" hidden="1">'FORM 1040-2'!$U$22</definedName>
    <definedName name="SD_34x1_78x16_17_S_1" localSheetId="5" hidden="1">'FORM 1040-2'!$T$22</definedName>
    <definedName name="SD_34x1_78x16_20_S_1" localSheetId="5" hidden="1">'FORM 1040-2'!$N$22</definedName>
    <definedName name="SD_34x1_78x16_8_S_0" localSheetId="5" hidden="1">'FORM 1040-2'!$R$22</definedName>
    <definedName name="SD_34x1_78x16_9_S_0" localSheetId="5" hidden="1">'FORM 1040-2'!$O$22</definedName>
    <definedName name="SD_34x1_78x17_10_S_0" localSheetId="5" hidden="1">'FORM 1040-2'!$U$23</definedName>
    <definedName name="SD_34x1_78x17_17_S_1" localSheetId="5" hidden="1">'FORM 1040-2'!$T$23</definedName>
    <definedName name="SD_34x1_78x17_20_S_1" localSheetId="5" hidden="1">'FORM 1040-2'!$N$23</definedName>
    <definedName name="SD_34x1_78x17_8_S_0" localSheetId="5" hidden="1">'FORM 1040-2'!$R$23</definedName>
    <definedName name="SD_34x1_78x17_9_S_0" localSheetId="5" hidden="1">'FORM 1040-2'!$O$23</definedName>
    <definedName name="SD_34x1_78x18_10_S_0" localSheetId="5" hidden="1">'FORM 1040-2'!$U$24</definedName>
    <definedName name="SD_34x1_78x18_17_S_1" localSheetId="5" hidden="1">'FORM 1040-2'!$T$24</definedName>
    <definedName name="SD_34x1_78x18_20_S_1" localSheetId="5" hidden="1">'FORM 1040-2'!$N$24</definedName>
    <definedName name="SD_34x1_78x18_8_S_0" localSheetId="5" hidden="1">'FORM 1040-2'!$R$24</definedName>
    <definedName name="SD_34x1_78x18_9_S_0" localSheetId="5" hidden="1">'FORM 1040-2'!$O$24</definedName>
    <definedName name="SD_34x1_78x19_10_S_0" localSheetId="5" hidden="1">'FORM 1040-2'!$U$25</definedName>
    <definedName name="SD_34x1_78x19_17_S_1" localSheetId="5" hidden="1">'FORM 1040-2'!$T$25</definedName>
    <definedName name="SD_34x1_78x19_20_S_1" localSheetId="5" hidden="1">'FORM 1040-2'!$N$25</definedName>
    <definedName name="SD_34x1_78x19_8_S_0" localSheetId="5" hidden="1">'FORM 1040-2'!$R$25</definedName>
    <definedName name="SD_34x1_78x19_9_S_0" localSheetId="5" hidden="1">'FORM 1040-2'!$O$25</definedName>
    <definedName name="SD_34x1_78x2_10_S_0" localSheetId="5" hidden="1">'FORM 1040-2'!$U$8</definedName>
    <definedName name="SD_34x1_78x2_17_S_1" localSheetId="5" hidden="1">'FORM 1040-2'!$T$8</definedName>
    <definedName name="SD_34x1_78x2_20_S_1" localSheetId="5" hidden="1">'FORM 1040-2'!$N$8</definedName>
    <definedName name="SD_34x1_78x2_8_S_0" localSheetId="5" hidden="1">'FORM 1040-2'!$R$8</definedName>
    <definedName name="SD_34x1_78x2_9_S_0" localSheetId="5" hidden="1">'FORM 1040-2'!$O$8</definedName>
    <definedName name="SD_34x1_78x20_10_S_0" localSheetId="5" hidden="1">'FORM 1040-2'!$U$26</definedName>
    <definedName name="SD_34x1_78x20_17_S_1" localSheetId="5" hidden="1">'FORM 1040-2'!$T$26</definedName>
    <definedName name="SD_34x1_78x20_20_S_1" localSheetId="5" hidden="1">'FORM 1040-2'!$N$26</definedName>
    <definedName name="SD_34x1_78x20_8_S_0" localSheetId="5" hidden="1">'FORM 1040-2'!$R$26</definedName>
    <definedName name="SD_34x1_78x20_9_S_0" localSheetId="5" hidden="1">'FORM 1040-2'!$O$26</definedName>
    <definedName name="SD_34x1_78x21_10_S_0" localSheetId="5" hidden="1">'FORM 1040-2'!$U$27</definedName>
    <definedName name="SD_34x1_78x21_17_S_1" localSheetId="5" hidden="1">'FORM 1040-2'!$T$27</definedName>
    <definedName name="SD_34x1_78x21_20_S_1" localSheetId="5" hidden="1">'FORM 1040-2'!$N$27</definedName>
    <definedName name="SD_34x1_78x21_8_S_0" localSheetId="5" hidden="1">'FORM 1040-2'!$R$27</definedName>
    <definedName name="SD_34x1_78x21_9_S_0" localSheetId="5" hidden="1">'FORM 1040-2'!$O$27</definedName>
    <definedName name="SD_34x1_78x22_10_S_0" localSheetId="5" hidden="1">'FORM 1040-2'!$U$28</definedName>
    <definedName name="SD_34x1_78x22_17_S_1" localSheetId="5" hidden="1">'FORM 1040-2'!$T$28</definedName>
    <definedName name="SD_34x1_78x22_20_S_1" localSheetId="5" hidden="1">'FORM 1040-2'!$N$28</definedName>
    <definedName name="SD_34x1_78x22_8_S_0" localSheetId="5" hidden="1">'FORM 1040-2'!$R$28</definedName>
    <definedName name="SD_34x1_78x22_9_S_0" localSheetId="5" hidden="1">'FORM 1040-2'!$O$28</definedName>
    <definedName name="SD_34x1_78x23_10_S_0" localSheetId="5" hidden="1">'FORM 1040-2'!$U$29</definedName>
    <definedName name="SD_34x1_78x23_17_S_1" localSheetId="5" hidden="1">'FORM 1040-2'!$T$29</definedName>
    <definedName name="SD_34x1_78x23_20_S_1" localSheetId="5" hidden="1">'FORM 1040-2'!$N$29</definedName>
    <definedName name="SD_34x1_78x23_8_S_0" localSheetId="5" hidden="1">'FORM 1040-2'!$R$29</definedName>
    <definedName name="SD_34x1_78x23_9_S_0" localSheetId="5" hidden="1">'FORM 1040-2'!$O$29</definedName>
    <definedName name="SD_34x1_78x24_10_S_0" localSheetId="5" hidden="1">'FORM 1040-2'!$U$30</definedName>
    <definedName name="SD_34x1_78x24_17_S_1" localSheetId="5" hidden="1">'FORM 1040-2'!$T$30</definedName>
    <definedName name="SD_34x1_78x24_20_S_1" localSheetId="5" hidden="1">'FORM 1040-2'!$N$30</definedName>
    <definedName name="SD_34x1_78x24_8_S_0" localSheetId="5" hidden="1">'FORM 1040-2'!$R$30</definedName>
    <definedName name="SD_34x1_78x24_9_S_0" localSheetId="5" hidden="1">'FORM 1040-2'!$O$30</definedName>
    <definedName name="SD_34x1_78x25_10_S_0" localSheetId="5" hidden="1">'FORM 1040-2'!$U$31</definedName>
    <definedName name="SD_34x1_78x25_17_S_1" localSheetId="5" hidden="1">'FORM 1040-2'!$T$31</definedName>
    <definedName name="SD_34x1_78x25_20_S_1" localSheetId="5" hidden="1">'FORM 1040-2'!$N$31</definedName>
    <definedName name="SD_34x1_78x25_8_S_0" localSheetId="5" hidden="1">'FORM 1040-2'!$R$31</definedName>
    <definedName name="SD_34x1_78x25_9_S_0" localSheetId="5" hidden="1">'FORM 1040-2'!$O$31</definedName>
    <definedName name="SD_34x1_78x26_10_S_0" localSheetId="5" hidden="1">'FORM 1040-2'!$U$32</definedName>
    <definedName name="SD_34x1_78x26_17_S_1" localSheetId="5" hidden="1">'FORM 1040-2'!$T$32</definedName>
    <definedName name="SD_34x1_78x26_20_S_1" localSheetId="5" hidden="1">'FORM 1040-2'!$N$32</definedName>
    <definedName name="SD_34x1_78x26_8_S_0" localSheetId="5" hidden="1">'FORM 1040-2'!$R$32</definedName>
    <definedName name="SD_34x1_78x26_9_S_0" localSheetId="5" hidden="1">'FORM 1040-2'!$O$32</definedName>
    <definedName name="SD_34x1_78x27_10_S_0" localSheetId="5" hidden="1">'FORM 1040-2'!$U$33</definedName>
    <definedName name="SD_34x1_78x27_17_S_1" localSheetId="5" hidden="1">'FORM 1040-2'!$T$33</definedName>
    <definedName name="SD_34x1_78x27_20_S_1" localSheetId="5" hidden="1">'FORM 1040-2'!$N$33</definedName>
    <definedName name="SD_34x1_78x27_8_S_0" localSheetId="5" hidden="1">'FORM 1040-2'!$R$33</definedName>
    <definedName name="SD_34x1_78x27_9_S_0" localSheetId="5" hidden="1">'FORM 1040-2'!$O$33</definedName>
    <definedName name="SD_34x1_78x28_10_S_0" localSheetId="5" hidden="1">'FORM 1040-2'!$U$34</definedName>
    <definedName name="SD_34x1_78x28_17_S_1" localSheetId="5" hidden="1">'FORM 1040-2'!$T$34</definedName>
    <definedName name="SD_34x1_78x28_20_S_1" localSheetId="5" hidden="1">'FORM 1040-2'!$N$34</definedName>
    <definedName name="SD_34x1_78x28_8_S_0" localSheetId="5" hidden="1">'FORM 1040-2'!$R$34</definedName>
    <definedName name="SD_34x1_78x28_9_S_0" localSheetId="5" hidden="1">'FORM 1040-2'!$O$34</definedName>
    <definedName name="SD_34x1_78x29_10_S_0" localSheetId="5" hidden="1">'FORM 1040-2'!$U$35</definedName>
    <definedName name="SD_34x1_78x29_17_S_1" localSheetId="5" hidden="1">'FORM 1040-2'!$T$35</definedName>
    <definedName name="SD_34x1_78x29_20_S_1" localSheetId="5" hidden="1">'FORM 1040-2'!$N$35</definedName>
    <definedName name="SD_34x1_78x29_8_S_0" localSheetId="5" hidden="1">'FORM 1040-2'!$R$35</definedName>
    <definedName name="SD_34x1_78x29_9_S_0" localSheetId="5" hidden="1">'FORM 1040-2'!$O$35</definedName>
    <definedName name="SD_34x1_78x3_10_S_0" localSheetId="5" hidden="1">'FORM 1040-2'!$U$9</definedName>
    <definedName name="SD_34x1_78x3_17_S_1" localSheetId="5" hidden="1">'FORM 1040-2'!$T$9</definedName>
    <definedName name="SD_34x1_78x3_20_S_1" localSheetId="5" hidden="1">'FORM 1040-2'!$N$9</definedName>
    <definedName name="SD_34x1_78x3_8_S_0" localSheetId="5" hidden="1">'FORM 1040-2'!$R$9</definedName>
    <definedName name="SD_34x1_78x3_9_S_0" localSheetId="5" hidden="1">'FORM 1040-2'!$O$9</definedName>
    <definedName name="SD_34x1_78x30_10_S_0" localSheetId="5" hidden="1">'FORM 1040-2'!$U$36</definedName>
    <definedName name="SD_34x1_78x30_17_S_1" localSheetId="5" hidden="1">'FORM 1040-2'!$T$36</definedName>
    <definedName name="SD_34x1_78x30_20_S_1" localSheetId="5" hidden="1">'FORM 1040-2'!$N$36</definedName>
    <definedName name="SD_34x1_78x30_8_S_0" localSheetId="5" hidden="1">'FORM 1040-2'!$R$36</definedName>
    <definedName name="SD_34x1_78x30_9_S_0" localSheetId="5" hidden="1">'FORM 1040-2'!$O$36</definedName>
    <definedName name="SD_34x1_78x31_10_S_0" localSheetId="5" hidden="1">'FORM 1040-2'!$U$37</definedName>
    <definedName name="SD_34x1_78x31_17_S_1" localSheetId="5" hidden="1">'FORM 1040-2'!$T$37</definedName>
    <definedName name="SD_34x1_78x31_20_S_1" localSheetId="5" hidden="1">'FORM 1040-2'!$N$37</definedName>
    <definedName name="SD_34x1_78x31_8_S_0" localSheetId="5" hidden="1">'FORM 1040-2'!$R$37</definedName>
    <definedName name="SD_34x1_78x31_9_S_0" localSheetId="5" hidden="1">'FORM 1040-2'!$O$37</definedName>
    <definedName name="SD_34x1_78x32_10_S_0" localSheetId="5" hidden="1">'FORM 1040-2'!$U$38</definedName>
    <definedName name="SD_34x1_78x32_17_S_1" localSheetId="5" hidden="1">'FORM 1040-2'!$T$38</definedName>
    <definedName name="SD_34x1_78x32_20_S_1" localSheetId="5" hidden="1">'FORM 1040-2'!$N$38</definedName>
    <definedName name="SD_34x1_78x32_8_S_0" localSheetId="5" hidden="1">'FORM 1040-2'!$R$38</definedName>
    <definedName name="SD_34x1_78x32_9_S_0" localSheetId="5" hidden="1">'FORM 1040-2'!$O$38</definedName>
    <definedName name="SD_34x1_78x33_10_S_0" localSheetId="5" hidden="1">'FORM 1040-2'!$U$39</definedName>
    <definedName name="SD_34x1_78x33_17_S_1" localSheetId="5" hidden="1">'FORM 1040-2'!$T$39</definedName>
    <definedName name="SD_34x1_78x33_20_S_1" localSheetId="5" hidden="1">'FORM 1040-2'!$N$39</definedName>
    <definedName name="SD_34x1_78x33_8_S_0" localSheetId="5" hidden="1">'FORM 1040-2'!$R$39</definedName>
    <definedName name="SD_34x1_78x33_9_S_0" localSheetId="5" hidden="1">'FORM 1040-2'!$O$39</definedName>
    <definedName name="SD_34x1_78x34_10_S_0" localSheetId="5" hidden="1">'FORM 1040-2'!$U$40</definedName>
    <definedName name="SD_34x1_78x34_17_S_1" localSheetId="5" hidden="1">'FORM 1040-2'!$T$40</definedName>
    <definedName name="SD_34x1_78x34_20_S_1" localSheetId="5" hidden="1">'FORM 1040-2'!$N$40</definedName>
    <definedName name="SD_34x1_78x34_8_S_0" localSheetId="5" hidden="1">'FORM 1040-2'!$R$40</definedName>
    <definedName name="SD_34x1_78x34_9_S_0" localSheetId="5" hidden="1">'FORM 1040-2'!$O$40</definedName>
    <definedName name="SD_34x1_78x35_10_S_0" localSheetId="5" hidden="1">'FORM 1040-2'!$U$41</definedName>
    <definedName name="SD_34x1_78x35_17_S_1" localSheetId="5" hidden="1">'FORM 1040-2'!$T$41</definedName>
    <definedName name="SD_34x1_78x35_20_S_1" localSheetId="5" hidden="1">'FORM 1040-2'!$N$41</definedName>
    <definedName name="SD_34x1_78x35_8_S_0" localSheetId="5" hidden="1">'FORM 1040-2'!$R$41</definedName>
    <definedName name="SD_34x1_78x35_9_S_0" localSheetId="5" hidden="1">'FORM 1040-2'!$O$41</definedName>
    <definedName name="SD_34x1_78x4_10_S_0" localSheetId="5" hidden="1">'FORM 1040-2'!$U$10</definedName>
    <definedName name="SD_34x1_78x4_17_S_1" localSheetId="5" hidden="1">'FORM 1040-2'!$T$10</definedName>
    <definedName name="SD_34x1_78x4_20_S_1" localSheetId="5" hidden="1">'FORM 1040-2'!$N$10</definedName>
    <definedName name="SD_34x1_78x4_8_S_0" localSheetId="5" hidden="1">'FORM 1040-2'!$R$10</definedName>
    <definedName name="SD_34x1_78x4_9_S_0" localSheetId="5" hidden="1">'FORM 1040-2'!$O$10</definedName>
    <definedName name="SD_34x1_78x5_10_S_0" localSheetId="5" hidden="1">'FORM 1040-2'!$U$11</definedName>
    <definedName name="SD_34x1_78x5_17_S_1" localSheetId="5" hidden="1">'FORM 1040-2'!$T$11</definedName>
    <definedName name="SD_34x1_78x5_20_S_1" localSheetId="5" hidden="1">'FORM 1040-2'!$N$11</definedName>
    <definedName name="SD_34x1_78x5_8_S_0" localSheetId="5" hidden="1">'FORM 1040-2'!$R$11</definedName>
    <definedName name="SD_34x1_78x5_9_S_0" localSheetId="5" hidden="1">'FORM 1040-2'!$O$11</definedName>
    <definedName name="SD_34x1_78x6_10_S_0" localSheetId="5" hidden="1">'FORM 1040-2'!$U$12</definedName>
    <definedName name="SD_34x1_78x6_17_S_1" localSheetId="5" hidden="1">'FORM 1040-2'!$T$12</definedName>
    <definedName name="SD_34x1_78x6_20_S_1" localSheetId="5" hidden="1">'FORM 1040-2'!$N$12</definedName>
    <definedName name="SD_34x1_78x6_8_S_0" localSheetId="5" hidden="1">'FORM 1040-2'!$R$12</definedName>
    <definedName name="SD_34x1_78x6_9_S_0" localSheetId="5" hidden="1">'FORM 1040-2'!$O$12</definedName>
    <definedName name="SD_34x1_78x7_10_S_0" localSheetId="5" hidden="1">'FORM 1040-2'!$U$13</definedName>
    <definedName name="SD_34x1_78x7_17_S_1" localSheetId="5" hidden="1">'FORM 1040-2'!$T$13</definedName>
    <definedName name="SD_34x1_78x7_20_S_1" localSheetId="5" hidden="1">'FORM 1040-2'!$N$13</definedName>
    <definedName name="SD_34x1_78x7_8_S_0" localSheetId="5" hidden="1">'FORM 1040-2'!$R$13</definedName>
    <definedName name="SD_34x1_78x7_9_S_0" localSheetId="5" hidden="1">'FORM 1040-2'!$O$13</definedName>
    <definedName name="SD_34x1_78x8_10_S_0" localSheetId="5" hidden="1">'FORM 1040-2'!$U$14</definedName>
    <definedName name="SD_34x1_78x8_17_S_1" localSheetId="5" hidden="1">'FORM 1040-2'!$T$14</definedName>
    <definedName name="SD_34x1_78x8_20_S_1" localSheetId="5" hidden="1">'FORM 1040-2'!$N$14</definedName>
    <definedName name="SD_34x1_78x8_8_S_0" localSheetId="5" hidden="1">'FORM 1040-2'!$R$14</definedName>
    <definedName name="SD_34x1_78x8_9_S_0" localSheetId="5" hidden="1">'FORM 1040-2'!$O$14</definedName>
    <definedName name="SD_34x1_78x9_10_S_0" localSheetId="5" hidden="1">'FORM 1040-2'!$U$15</definedName>
    <definedName name="SD_34x1_78x9_17_S_1" localSheetId="5" hidden="1">'FORM 1040-2'!$T$15</definedName>
    <definedName name="SD_34x1_78x9_20_S_1" localSheetId="5" hidden="1">'FORM 1040-2'!$N$15</definedName>
    <definedName name="SD_34x1_78x9_8_S_0" localSheetId="5" hidden="1">'FORM 1040-2'!$R$15</definedName>
    <definedName name="SD_34x1_78x9_9_S_0" localSheetId="5" hidden="1">'FORM 1040-2'!$O$15</definedName>
    <definedName name="SD_34x1_79_S_0" localSheetId="38" hidden="1">'FORM 1040-27'!$AD$25</definedName>
    <definedName name="SD_34x1_80_S_0" localSheetId="20" hidden="1">'FORM 1040-11'!$L$48</definedName>
    <definedName name="SD_34x1_82_S_0" localSheetId="5" hidden="1">'FORM 1040-2'!$U$50</definedName>
    <definedName name="SD_34x1_84_S_0" localSheetId="5" hidden="1">'FORM 1040-2'!$U$59</definedName>
    <definedName name="SD_34x1_88_S_0" localSheetId="27" hidden="1">'FORM 1040-24'!$AD$9</definedName>
    <definedName name="SD_34x1_89_S_0" localSheetId="32" hidden="1">'FORM 1040-21'!$Z$30</definedName>
    <definedName name="SD_34x1_91x1_10_S_0" localSheetId="10" hidden="1">'FORM 1040-5a'!$P$12</definedName>
    <definedName name="SD_34x1_91x1_11_S_0" localSheetId="43" hidden="1">'FORM 1040-31a'!$S$8</definedName>
    <definedName name="SD_34x1_91x1_12_S_0" localSheetId="10" hidden="1">'FORM 1040-5a'!$P$13</definedName>
    <definedName name="SD_34x1_91x1_13_S_0" localSheetId="10" hidden="1">'FORM 1040-5a'!$P$14</definedName>
    <definedName name="SD_34x1_91x1_18_S_0" localSheetId="10" hidden="1">'FORM 1040-5a'!$N$12</definedName>
    <definedName name="SD_34x1_91x1_19_S_0" localSheetId="43" hidden="1">'FORM 1040-31a'!$S$9</definedName>
    <definedName name="SD_34x1_91x1_20_S_0" localSheetId="10" hidden="1">'FORM 1040-5a'!$N$13</definedName>
    <definedName name="SD_34x1_91x1_21_S_0" localSheetId="10" hidden="1">'FORM 1040-5a'!$N$14</definedName>
    <definedName name="SD_34x1_91x1_36_S_1" localSheetId="2" hidden="1">'FORM 1040-1a'!$AJ$7</definedName>
    <definedName name="SD_34x1_91x1_4_S_0" localSheetId="2" hidden="1">'FORM 1040-1a'!$X$7</definedName>
    <definedName name="SD_34x1_91x1_6_S_0" localSheetId="2" hidden="1">'FORM 1040-1a'!$AD$7</definedName>
    <definedName name="SD_34x1_91x1_7_S_0" localSheetId="2" hidden="1">'FORM 1040-1a'!$AL$7</definedName>
    <definedName name="SD_34x1_91x1_8_S_0" localSheetId="6" hidden="1">'FORM 1040-2a'!$T$12</definedName>
    <definedName name="SD_34x1_91x1_9_S_0" localSheetId="6" hidden="1">'FORM 1040-2a'!$V$12</definedName>
    <definedName name="SD_34x1_91x10_10_S_0" localSheetId="11" hidden="1">'FORM 1040-5b'!$P$16</definedName>
    <definedName name="SD_34x1_91x10_11_S_0" localSheetId="43" hidden="1">'FORM 1040-31a'!$T$16</definedName>
    <definedName name="SD_34x1_91x10_12_S_0" localSheetId="11" hidden="1">'FORM 1040-5b'!$P$17</definedName>
    <definedName name="SD_34x1_91x10_13_S_0" localSheetId="11" hidden="1">'FORM 1040-5b'!$P$18</definedName>
    <definedName name="SD_34x1_91x10_18_S_0" localSheetId="11" hidden="1">'FORM 1040-5b'!$N$16</definedName>
    <definedName name="SD_34x1_91x10_19_S_0" localSheetId="43" hidden="1">'FORM 1040-31a'!$T$17</definedName>
    <definedName name="SD_34x1_91x10_20_S_0" localSheetId="11" hidden="1">'FORM 1040-5b'!$N$17</definedName>
    <definedName name="SD_34x1_91x10_21_S_0" localSheetId="11" hidden="1">'FORM 1040-5b'!$N$18</definedName>
    <definedName name="SD_34x1_91x10_36_S_1" localSheetId="2" hidden="1">'FORM 1040-1a'!$AJ$34</definedName>
    <definedName name="SD_34x1_91x10_4_S_0" localSheetId="2" hidden="1">'FORM 1040-1a'!$X$34</definedName>
    <definedName name="SD_34x1_91x10_6_S_0" localSheetId="2" hidden="1">'FORM 1040-1a'!$AD$34</definedName>
    <definedName name="SD_34x1_91x10_7_S_0" localSheetId="2" hidden="1">'FORM 1040-1a'!$AL$34</definedName>
    <definedName name="SD_34x1_91x10_8_S_0" localSheetId="6" hidden="1">'FORM 1040-2a'!$T$30</definedName>
    <definedName name="SD_34x1_91x10_9_S_0" localSheetId="6" hidden="1">'FORM 1040-2a'!$V$30</definedName>
    <definedName name="SD_34x1_91x11_10_S_0" localSheetId="11" hidden="1">'FORM 1040-5b'!$P$20</definedName>
    <definedName name="SD_34x1_91x11_11_S_0" localSheetId="43" hidden="1">'FORM 1040-31a'!$U$16</definedName>
    <definedName name="SD_34x1_91x11_12_S_0" localSheetId="11" hidden="1">'FORM 1040-5b'!$P$21</definedName>
    <definedName name="SD_34x1_91x11_13_S_0" localSheetId="11" hidden="1">'FORM 1040-5b'!$P$22</definedName>
    <definedName name="SD_34x1_91x11_18_S_0" localSheetId="11" hidden="1">'FORM 1040-5b'!$N$20</definedName>
    <definedName name="SD_34x1_91x11_19_S_0" localSheetId="43" hidden="1">'FORM 1040-31a'!$U$17</definedName>
    <definedName name="SD_34x1_91x11_20_S_0" localSheetId="11" hidden="1">'FORM 1040-5b'!$N$21</definedName>
    <definedName name="SD_34x1_91x11_21_S_0" localSheetId="11" hidden="1">'FORM 1040-5b'!$N$22</definedName>
    <definedName name="SD_34x1_91x11_36_S_1" localSheetId="2" hidden="1">'FORM 1040-1a'!$AJ$37</definedName>
    <definedName name="SD_34x1_91x11_4_S_0" localSheetId="2" hidden="1">'FORM 1040-1a'!$X$37</definedName>
    <definedName name="SD_34x1_91x11_6_S_0" localSheetId="2" hidden="1">'FORM 1040-1a'!$AD$37</definedName>
    <definedName name="SD_34x1_91x11_7_S_0" localSheetId="2" hidden="1">'FORM 1040-1a'!$AL$37</definedName>
    <definedName name="SD_34x1_91x11_8_S_0" localSheetId="6" hidden="1">'FORM 1040-2a'!$T$32</definedName>
    <definedName name="SD_34x1_91x11_9_S_0" localSheetId="6" hidden="1">'FORM 1040-2a'!$V$32</definedName>
    <definedName name="SD_34x1_91x12_10_S_0" localSheetId="11" hidden="1">'FORM 1040-5b'!$P$24</definedName>
    <definedName name="SD_34x1_91x12_11_S_0" localSheetId="43" hidden="1">'FORM 1040-31a'!$V$16</definedName>
    <definedName name="SD_34x1_91x12_12_S_0" localSheetId="11" hidden="1">'FORM 1040-5b'!$P$25</definedName>
    <definedName name="SD_34x1_91x12_13_S_0" localSheetId="11" hidden="1">'FORM 1040-5b'!$P$26</definedName>
    <definedName name="SD_34x1_91x12_18_S_0" localSheetId="11" hidden="1">'FORM 1040-5b'!$N$24</definedName>
    <definedName name="SD_34x1_91x12_19_S_0" localSheetId="43" hidden="1">'FORM 1040-31a'!$V$17</definedName>
    <definedName name="SD_34x1_91x12_20_S_0" localSheetId="11" hidden="1">'FORM 1040-5b'!$N$25</definedName>
    <definedName name="SD_34x1_91x12_21_S_0" localSheetId="11" hidden="1">'FORM 1040-5b'!$N$26</definedName>
    <definedName name="SD_34x1_91x12_36_S_1" localSheetId="2" hidden="1">'FORM 1040-1a'!$AJ$40</definedName>
    <definedName name="SD_34x1_91x12_4_S_0" localSheetId="2" hidden="1">'FORM 1040-1a'!$X$40</definedName>
    <definedName name="SD_34x1_91x12_6_S_0" localSheetId="2" hidden="1">'FORM 1040-1a'!$AD$40</definedName>
    <definedName name="SD_34x1_91x12_7_S_0" localSheetId="2" hidden="1">'FORM 1040-1a'!$AL$40</definedName>
    <definedName name="SD_34x1_91x12_8_S_0" localSheetId="6" hidden="1">'FORM 1040-2a'!$T$34</definedName>
    <definedName name="SD_34x1_91x12_9_S_0" localSheetId="6" hidden="1">'FORM 1040-2a'!$V$34</definedName>
    <definedName name="SD_34x1_91x13_10_S_0" localSheetId="11" hidden="1">'FORM 1040-5b'!$P$28</definedName>
    <definedName name="SD_34x1_91x13_11_S_0" localSheetId="43" hidden="1">'FORM 1040-31a'!$S$20</definedName>
    <definedName name="SD_34x1_91x13_12_S_0" localSheetId="11" hidden="1">'FORM 1040-5b'!$P$29</definedName>
    <definedName name="SD_34x1_91x13_13_S_0" localSheetId="11" hidden="1">'FORM 1040-5b'!$P$30</definedName>
    <definedName name="SD_34x1_91x13_18_S_0" localSheetId="11" hidden="1">'FORM 1040-5b'!$N$28</definedName>
    <definedName name="SD_34x1_91x13_19_S_0" localSheetId="43" hidden="1">'FORM 1040-31a'!$S$21</definedName>
    <definedName name="SD_34x1_91x13_20_S_0" localSheetId="11" hidden="1">'FORM 1040-5b'!$N$29</definedName>
    <definedName name="SD_34x1_91x13_21_S_0" localSheetId="11" hidden="1">'FORM 1040-5b'!$N$30</definedName>
    <definedName name="SD_34x1_91x13_36_S_1" localSheetId="2" hidden="1">'FORM 1040-1a'!$AJ$43</definedName>
    <definedName name="SD_34x1_91x13_4_S_0" localSheetId="2" hidden="1">'FORM 1040-1a'!$X$43</definedName>
    <definedName name="SD_34x1_91x13_6_S_0" localSheetId="2" hidden="1">'FORM 1040-1a'!$AD$43</definedName>
    <definedName name="SD_34x1_91x13_7_S_0" localSheetId="2" hidden="1">'FORM 1040-1a'!$AL$43</definedName>
    <definedName name="SD_34x1_91x13_8_S_0" localSheetId="6" hidden="1">'FORM 1040-2a'!$T$36</definedName>
    <definedName name="SD_34x1_91x13_9_S_0" localSheetId="6" hidden="1">'FORM 1040-2a'!$V$36</definedName>
    <definedName name="SD_34x1_91x14_10_S_0" localSheetId="11" hidden="1">'FORM 1040-5b'!$P$32</definedName>
    <definedName name="SD_34x1_91x14_11_S_0" localSheetId="43" hidden="1">'FORM 1040-31a'!$T$20</definedName>
    <definedName name="SD_34x1_91x14_12_S_0" localSheetId="11" hidden="1">'FORM 1040-5b'!$P$33</definedName>
    <definedName name="SD_34x1_91x14_13_S_0" localSheetId="11" hidden="1">'FORM 1040-5b'!$P$34</definedName>
    <definedName name="SD_34x1_91x14_18_S_0" localSheetId="11" hidden="1">'FORM 1040-5b'!$N$32</definedName>
    <definedName name="SD_34x1_91x14_19_S_0" localSheetId="43" hidden="1">'FORM 1040-31a'!$T$21</definedName>
    <definedName name="SD_34x1_91x14_20_S_0" localSheetId="11" hidden="1">'FORM 1040-5b'!$N$33</definedName>
    <definedName name="SD_34x1_91x14_21_S_0" localSheetId="11" hidden="1">'FORM 1040-5b'!$N$34</definedName>
    <definedName name="SD_34x1_91x14_36_S_1" localSheetId="2" hidden="1">'FORM 1040-1a'!$AJ$46</definedName>
    <definedName name="SD_34x1_91x14_4_S_0" localSheetId="2" hidden="1">'FORM 1040-1a'!$X$46</definedName>
    <definedName name="SD_34x1_91x14_6_S_0" localSheetId="2" hidden="1">'FORM 1040-1a'!$AD$46</definedName>
    <definedName name="SD_34x1_91x14_7_S_0" localSheetId="2" hidden="1">'FORM 1040-1a'!$AL$46</definedName>
    <definedName name="SD_34x1_91x14_8_S_0" localSheetId="6" hidden="1">'FORM 1040-2a'!$T$38</definedName>
    <definedName name="SD_34x1_91x14_9_S_0" localSheetId="6" hidden="1">'FORM 1040-2a'!$V$38</definedName>
    <definedName name="SD_34x1_91x15_10_S_0" localSheetId="11" hidden="1">'FORM 1040-5b'!$P$36</definedName>
    <definedName name="SD_34x1_91x15_11_S_0" localSheetId="43" hidden="1">'FORM 1040-31a'!$U$20</definedName>
    <definedName name="SD_34x1_91x15_12_S_0" localSheetId="11" hidden="1">'FORM 1040-5b'!$P$37</definedName>
    <definedName name="SD_34x1_91x15_13_S_0" localSheetId="11" hidden="1">'FORM 1040-5b'!$P$38</definedName>
    <definedName name="SD_34x1_91x15_18_S_0" localSheetId="11" hidden="1">'FORM 1040-5b'!$N$36</definedName>
    <definedName name="SD_34x1_91x15_19_S_0" localSheetId="43" hidden="1">'FORM 1040-31a'!$U$21</definedName>
    <definedName name="SD_34x1_91x15_20_S_0" localSheetId="11" hidden="1">'FORM 1040-5b'!$N$37</definedName>
    <definedName name="SD_34x1_91x15_21_S_0" localSheetId="11" hidden="1">'FORM 1040-5b'!$N$38</definedName>
    <definedName name="SD_34x1_91x15_36_S_1" localSheetId="2" hidden="1">'FORM 1040-1a'!$AJ$49</definedName>
    <definedName name="SD_34x1_91x15_4_S_0" localSheetId="2" hidden="1">'FORM 1040-1a'!$X$49</definedName>
    <definedName name="SD_34x1_91x15_6_S_0" localSheetId="2" hidden="1">'FORM 1040-1a'!$AD$49</definedName>
    <definedName name="SD_34x1_91x15_7_S_0" localSheetId="2" hidden="1">'FORM 1040-1a'!$AL$49</definedName>
    <definedName name="SD_34x1_91x15_8_S_0" localSheetId="6" hidden="1">'FORM 1040-2a'!$T$40</definedName>
    <definedName name="SD_34x1_91x15_9_S_0" localSheetId="6" hidden="1">'FORM 1040-2a'!$V$40</definedName>
    <definedName name="SD_34x1_91x2_10_S_0" localSheetId="10" hidden="1">'FORM 1040-5a'!$P$16</definedName>
    <definedName name="SD_34x1_91x2_11_S_0" localSheetId="43" hidden="1">'FORM 1040-31a'!$T$8</definedName>
    <definedName name="SD_34x1_91x2_12_S_0" localSheetId="10" hidden="1">'FORM 1040-5a'!$P$17</definedName>
    <definedName name="SD_34x1_91x2_13_S_0" localSheetId="10" hidden="1">'FORM 1040-5a'!$P$18</definedName>
    <definedName name="SD_34x1_91x2_18_S_0" localSheetId="10" hidden="1">'FORM 1040-5a'!$N$16</definedName>
    <definedName name="SD_34x1_91x2_19_S_0" localSheetId="43" hidden="1">'FORM 1040-31a'!$T$9</definedName>
    <definedName name="SD_34x1_91x2_20_S_0" localSheetId="10" hidden="1">'FORM 1040-5a'!$N$17</definedName>
    <definedName name="SD_34x1_91x2_21_S_0" localSheetId="10" hidden="1">'FORM 1040-5a'!$N$18</definedName>
    <definedName name="SD_34x1_91x2_36_S_1" localSheetId="2" hidden="1">'FORM 1040-1a'!$AJ$10</definedName>
    <definedName name="SD_34x1_91x2_4_S_0" localSheetId="2" hidden="1">'FORM 1040-1a'!$X$10</definedName>
    <definedName name="SD_34x1_91x2_6_S_0" localSheetId="2" hidden="1">'FORM 1040-1a'!$AD$10</definedName>
    <definedName name="SD_34x1_91x2_7_S_0" localSheetId="2" hidden="1">'FORM 1040-1a'!$AL$10</definedName>
    <definedName name="SD_34x1_91x2_8_S_0" localSheetId="6" hidden="1">'FORM 1040-2a'!$T$14</definedName>
    <definedName name="SD_34x1_91x2_9_S_0" localSheetId="6" hidden="1">'FORM 1040-2a'!$V$14</definedName>
    <definedName name="SD_34x1_91x3_10_S_0" localSheetId="10" hidden="1">'FORM 1040-5a'!$P$20</definedName>
    <definedName name="SD_34x1_91x3_11_S_0" localSheetId="43" hidden="1">'FORM 1040-31a'!$U$8</definedName>
    <definedName name="SD_34x1_91x3_12_S_0" localSheetId="10" hidden="1">'FORM 1040-5a'!$P$21</definedName>
    <definedName name="SD_34x1_91x3_13_S_0" localSheetId="10" hidden="1">'FORM 1040-5a'!$P$22</definedName>
    <definedName name="SD_34x1_91x3_18_S_0" localSheetId="10" hidden="1">'FORM 1040-5a'!$N$20</definedName>
    <definedName name="SD_34x1_91x3_19_S_0" localSheetId="43" hidden="1">'FORM 1040-31a'!$U$9</definedName>
    <definedName name="SD_34x1_91x3_20_S_0" localSheetId="10" hidden="1">'FORM 1040-5a'!$N$21</definedName>
    <definedName name="SD_34x1_91x3_21_S_0" localSheetId="10" hidden="1">'FORM 1040-5a'!$N$22</definedName>
    <definedName name="SD_34x1_91x3_36_S_1" localSheetId="2" hidden="1">'FORM 1040-1a'!$AJ$13</definedName>
    <definedName name="SD_34x1_91x3_4_S_0" localSheetId="2" hidden="1">'FORM 1040-1a'!$X$13</definedName>
    <definedName name="SD_34x1_91x3_6_S_0" localSheetId="2" hidden="1">'FORM 1040-1a'!$AD$13</definedName>
    <definedName name="SD_34x1_91x3_7_S_0" localSheetId="2" hidden="1">'FORM 1040-1a'!$AL$13</definedName>
    <definedName name="SD_34x1_91x3_8_S_0" localSheetId="6" hidden="1">'FORM 1040-2a'!$T$16</definedName>
    <definedName name="SD_34x1_91x3_9_S_0" localSheetId="6" hidden="1">'FORM 1040-2a'!$V$16</definedName>
    <definedName name="SD_34x1_91x4_10_S_0" localSheetId="10" hidden="1">'FORM 1040-5a'!$P$24</definedName>
    <definedName name="SD_34x1_91x4_11_S_0" localSheetId="43" hidden="1">'FORM 1040-31a'!$V$8</definedName>
    <definedName name="SD_34x1_91x4_12_S_0" localSheetId="10" hidden="1">'FORM 1040-5a'!$P$25</definedName>
    <definedName name="SD_34x1_91x4_13_S_0" localSheetId="10" hidden="1">'FORM 1040-5a'!$P$26</definedName>
    <definedName name="SD_34x1_91x4_18_S_0" localSheetId="10" hidden="1">'FORM 1040-5a'!$N$24</definedName>
    <definedName name="SD_34x1_91x4_19_S_0" localSheetId="43" hidden="1">'FORM 1040-31a'!$V$9</definedName>
    <definedName name="SD_34x1_91x4_20_S_0" localSheetId="10" hidden="1">'FORM 1040-5a'!$N$25</definedName>
    <definedName name="SD_34x1_91x4_21_S_0" localSheetId="10" hidden="1">'FORM 1040-5a'!$N$26</definedName>
    <definedName name="SD_34x1_91x4_36_S_1" localSheetId="2" hidden="1">'FORM 1040-1a'!$AJ$16</definedName>
    <definedName name="SD_34x1_91x4_4_S_0" localSheetId="2" hidden="1">'FORM 1040-1a'!$X$16</definedName>
    <definedName name="SD_34x1_91x4_6_S_0" localSheetId="2" hidden="1">'FORM 1040-1a'!$AD$16</definedName>
    <definedName name="SD_34x1_91x4_7_S_0" localSheetId="2" hidden="1">'FORM 1040-1a'!$AL$16</definedName>
    <definedName name="SD_34x1_91x4_8_S_0" localSheetId="6" hidden="1">'FORM 1040-2a'!$T$18</definedName>
    <definedName name="SD_34x1_91x4_9_S_0" localSheetId="6" hidden="1">'FORM 1040-2a'!$V$18</definedName>
    <definedName name="SD_34x1_91x5_10_S_0" localSheetId="10" hidden="1">'FORM 1040-5a'!$P$28</definedName>
    <definedName name="SD_34x1_91x5_11_S_0" localSheetId="43" hidden="1">'FORM 1040-31a'!$S$12</definedName>
    <definedName name="SD_34x1_91x5_12_S_0" localSheetId="10" hidden="1">'FORM 1040-5a'!$P$29</definedName>
    <definedName name="SD_34x1_91x5_13_S_0" localSheetId="10" hidden="1">'FORM 1040-5a'!$P$30</definedName>
    <definedName name="SD_34x1_91x5_18_S_0" localSheetId="10" hidden="1">'FORM 1040-5a'!$N$28</definedName>
    <definedName name="SD_34x1_91x5_19_S_0" localSheetId="43" hidden="1">'FORM 1040-31a'!$S$13</definedName>
    <definedName name="SD_34x1_91x5_20_S_0" localSheetId="10" hidden="1">'FORM 1040-5a'!$N$29</definedName>
    <definedName name="SD_34x1_91x5_21_S_0" localSheetId="10" hidden="1">'FORM 1040-5a'!$N$30</definedName>
    <definedName name="SD_34x1_91x5_36_S_1" localSheetId="2" hidden="1">'FORM 1040-1a'!$AJ$19</definedName>
    <definedName name="SD_34x1_91x5_4_S_0" localSheetId="2" hidden="1">'FORM 1040-1a'!$X$19</definedName>
    <definedName name="SD_34x1_91x5_6_S_0" localSheetId="2" hidden="1">'FORM 1040-1a'!$AD$19</definedName>
    <definedName name="SD_34x1_91x5_7_S_0" localSheetId="2" hidden="1">'FORM 1040-1a'!$AL$19</definedName>
    <definedName name="SD_34x1_91x5_8_S_0" localSheetId="6" hidden="1">'FORM 1040-2a'!$T$20</definedName>
    <definedName name="SD_34x1_91x5_9_S_0" localSheetId="6" hidden="1">'FORM 1040-2a'!$V$20</definedName>
    <definedName name="SD_34x1_91x6_10_S_0" localSheetId="10" hidden="1">'FORM 1040-5a'!$P$32</definedName>
    <definedName name="SD_34x1_91x6_11_S_0" localSheetId="43" hidden="1">'FORM 1040-31a'!$T$12</definedName>
    <definedName name="SD_34x1_91x6_12_S_0" localSheetId="10" hidden="1">'FORM 1040-5a'!$P$33</definedName>
    <definedName name="SD_34x1_91x6_13_S_0" localSheetId="10" hidden="1">'FORM 1040-5a'!$P$34</definedName>
    <definedName name="SD_34x1_91x6_18_S_0" localSheetId="10" hidden="1">'FORM 1040-5a'!$N$32</definedName>
    <definedName name="SD_34x1_91x6_19_S_0" localSheetId="43" hidden="1">'FORM 1040-31a'!$T$13</definedName>
    <definedName name="SD_34x1_91x6_20_S_0" localSheetId="10" hidden="1">'FORM 1040-5a'!$N$33</definedName>
    <definedName name="SD_34x1_91x6_21_S_0" localSheetId="10" hidden="1">'FORM 1040-5a'!$N$34</definedName>
    <definedName name="SD_34x1_91x6_36_S_1" localSheetId="2" hidden="1">'FORM 1040-1a'!$AJ$22</definedName>
    <definedName name="SD_34x1_91x6_4_S_0" localSheetId="2" hidden="1">'FORM 1040-1a'!$X$22</definedName>
    <definedName name="SD_34x1_91x6_6_S_0" localSheetId="2" hidden="1">'FORM 1040-1a'!$AD$22</definedName>
    <definedName name="SD_34x1_91x6_7_S_0" localSheetId="2" hidden="1">'FORM 1040-1a'!$AL$22</definedName>
    <definedName name="SD_34x1_91x6_8_S_0" localSheetId="6" hidden="1">'FORM 1040-2a'!$T$22</definedName>
    <definedName name="SD_34x1_91x6_9_S_0" localSheetId="6" hidden="1">'FORM 1040-2a'!$V$22</definedName>
    <definedName name="SD_34x1_91x7_10_S_0" localSheetId="10" hidden="1">'FORM 1040-5a'!$P$36</definedName>
    <definedName name="SD_34x1_91x7_11_S_0" localSheetId="43" hidden="1">'FORM 1040-31a'!$U$12</definedName>
    <definedName name="SD_34x1_91x7_12_S_0" localSheetId="10" hidden="1">'FORM 1040-5a'!$P$37</definedName>
    <definedName name="SD_34x1_91x7_13_S_0" localSheetId="10" hidden="1">'FORM 1040-5a'!$P$38</definedName>
    <definedName name="SD_34x1_91x7_18_S_0" localSheetId="10" hidden="1">'FORM 1040-5a'!$N$36</definedName>
    <definedName name="SD_34x1_91x7_19_S_0" localSheetId="43" hidden="1">'FORM 1040-31a'!$U$13</definedName>
    <definedName name="SD_34x1_91x7_20_S_0" localSheetId="10" hidden="1">'FORM 1040-5a'!$N$37</definedName>
    <definedName name="SD_34x1_91x7_21_S_0" localSheetId="10" hidden="1">'FORM 1040-5a'!$N$38</definedName>
    <definedName name="SD_34x1_91x7_36_S_1" localSheetId="2" hidden="1">'FORM 1040-1a'!$AJ$25</definedName>
    <definedName name="SD_34x1_91x7_4_S_0" localSheetId="2" hidden="1">'FORM 1040-1a'!$X$25</definedName>
    <definedName name="SD_34x1_91x7_6_S_0" localSheetId="2" hidden="1">'FORM 1040-1a'!$AD$25</definedName>
    <definedName name="SD_34x1_91x7_7_S_0" localSheetId="2" hidden="1">'FORM 1040-1a'!$AL$25</definedName>
    <definedName name="SD_34x1_91x7_8_S_0" localSheetId="6" hidden="1">'FORM 1040-2a'!$T$24</definedName>
    <definedName name="SD_34x1_91x7_9_S_0" localSheetId="6" hidden="1">'FORM 1040-2a'!$V$24</definedName>
    <definedName name="SD_34x1_91x8_10_S_0" localSheetId="10" hidden="1">'FORM 1040-5a'!$P$40</definedName>
    <definedName name="SD_34x1_91x8_11_S_0" localSheetId="43" hidden="1">'FORM 1040-31a'!$V$12</definedName>
    <definedName name="SD_34x1_91x8_12_S_0" localSheetId="10" hidden="1">'FORM 1040-5a'!$P$41</definedName>
    <definedName name="SD_34x1_91x8_13_S_0" localSheetId="10" hidden="1">'FORM 1040-5a'!$P$42</definedName>
    <definedName name="SD_34x1_91x8_18_S_0" localSheetId="10" hidden="1">'FORM 1040-5a'!$N$40</definedName>
    <definedName name="SD_34x1_91x8_19_S_0" localSheetId="43" hidden="1">'FORM 1040-31a'!$V$13</definedName>
    <definedName name="SD_34x1_91x8_20_S_0" localSheetId="10" hidden="1">'FORM 1040-5a'!$N$41</definedName>
    <definedName name="SD_34x1_91x8_21_S_0" localSheetId="10" hidden="1">'FORM 1040-5a'!$N$42</definedName>
    <definedName name="SD_34x1_91x8_36_S_1" localSheetId="2" hidden="1">'FORM 1040-1a'!$AJ$28</definedName>
    <definedName name="SD_34x1_91x8_4_S_0" localSheetId="2" hidden="1">'FORM 1040-1a'!$X$28</definedName>
    <definedName name="SD_34x1_91x8_6_S_0" localSheetId="2" hidden="1">'FORM 1040-1a'!$AD$28</definedName>
    <definedName name="SD_34x1_91x8_7_S_0" localSheetId="2" hidden="1">'FORM 1040-1a'!$AL$28</definedName>
    <definedName name="SD_34x1_91x8_8_S_0" localSheetId="6" hidden="1">'FORM 1040-2a'!$T$26</definedName>
    <definedName name="SD_34x1_91x8_9_S_0" localSheetId="6" hidden="1">'FORM 1040-2a'!$V$26</definedName>
    <definedName name="SD_34x1_91x9_10_S_0" localSheetId="11" hidden="1">'FORM 1040-5b'!$P$12</definedName>
    <definedName name="SD_34x1_91x9_11_S_0" localSheetId="43" hidden="1">'FORM 1040-31a'!$S$16</definedName>
    <definedName name="SD_34x1_91x9_12_S_0" localSheetId="11" hidden="1">'FORM 1040-5b'!$P$13</definedName>
    <definedName name="SD_34x1_91x9_13_S_0" localSheetId="11" hidden="1">'FORM 1040-5b'!$P$14</definedName>
    <definedName name="SD_34x1_91x9_18_S_0" localSheetId="11" hidden="1">'FORM 1040-5b'!$N$12</definedName>
    <definedName name="SD_34x1_91x9_19_S_0" localSheetId="43" hidden="1">'FORM 1040-31a'!$S$17</definedName>
    <definedName name="SD_34x1_91x9_20_S_0" localSheetId="11" hidden="1">'FORM 1040-5b'!$N$13</definedName>
    <definedName name="SD_34x1_91x9_21_S_0" localSheetId="11" hidden="1">'FORM 1040-5b'!$N$14</definedName>
    <definedName name="SD_34x1_91x9_36_S_1" localSheetId="2" hidden="1">'FORM 1040-1a'!$AJ$31</definedName>
    <definedName name="SD_34x1_91x9_4_S_0" localSheetId="2" hidden="1">'FORM 1040-1a'!$X$31</definedName>
    <definedName name="SD_34x1_91x9_6_S_0" localSheetId="2" hidden="1">'FORM 1040-1a'!$AD$31</definedName>
    <definedName name="SD_34x1_91x9_7_S_0" localSheetId="2" hidden="1">'FORM 1040-1a'!$AL$31</definedName>
    <definedName name="SD_34x1_91x9_8_S_0" localSheetId="6" hidden="1">'FORM 1040-2a'!$T$28</definedName>
    <definedName name="SD_34x1_91x9_9_S_0" localSheetId="6" hidden="1">'FORM 1040-2a'!$V$28</definedName>
    <definedName name="SD_34x1_93_S_0" localSheetId="17" hidden="1">'FORM 1040-9'!$AD$40</definedName>
    <definedName name="SD_34x1_95_S_0" localSheetId="17" hidden="1">'FORM 1040-9'!$T$52</definedName>
    <definedName name="SD_34x1_96_S_0" localSheetId="17" hidden="1">'FORM 1040-9'!$T$44</definedName>
    <definedName name="SD_34x1_97_S_0" localSheetId="17" hidden="1">'FORM 1040-9'!$T$48</definedName>
    <definedName name="SD_34x1_98_S_0" localSheetId="17" hidden="1">'FORM 1040-9'!$T$50</definedName>
    <definedName name="SD_34x1_99_S_0" localSheetId="17" hidden="1">'FORM 1040-9'!$T$46</definedName>
    <definedName name="SD_D_PL_BldgAllocType" hidden="1">SD_Dropdowns!$GG$2:$GH$15</definedName>
    <definedName name="SD_D_PL_BldgAllocType_Name" hidden="1">SD_Dropdowns!$GG$2:$GG$15</definedName>
    <definedName name="SD_D_PL_BldgAllocType_Value" hidden="1">SD_Dropdowns!$GH$2:$GH$15</definedName>
    <definedName name="SD_D_PL_ExtendedUseRestriction" hidden="1">SD_Dropdowns!$GC$2:$GD$7</definedName>
    <definedName name="SD_D_PL_ExtendedUseRestriction_Name" hidden="1">SD_Dropdowns!$GC$2:$GC$7</definedName>
    <definedName name="SD_D_PL_ExtendedUseRestriction_Value" hidden="1">SD_Dropdowns!$GD$2:$GD$7</definedName>
    <definedName name="SD_D_PL_FinancingType" hidden="1">SD_Dropdowns!$GK$2:$GL$5</definedName>
    <definedName name="SD_D_PL_FinancingType_Name" hidden="1">SD_Dropdowns!$GK$2:$GK$5</definedName>
    <definedName name="SD_D_PL_FinancingType_Value" hidden="1">SD_Dropdowns!$GL$2:$GL$5</definedName>
    <definedName name="SD_D_PL_IncomeTarget" hidden="1">SD_Dropdowns!$GM$2:$GN$6</definedName>
    <definedName name="SD_D_PL_IncomeTarget_Name" hidden="1">SD_Dropdowns!$GM$2:$GM$6</definedName>
    <definedName name="SD_D_PL_IncomeTarget_Value" hidden="1">SD_Dropdowns!$GN$2:$GN$6</definedName>
    <definedName name="SD_D_PL_IssuingAuthority" hidden="1">SD_Dropdowns!$GQ$2:$GR$4</definedName>
    <definedName name="SD_D_PL_IssuingAuthority_Name" hidden="1">SD_Dropdowns!$GQ$2:$GQ$4</definedName>
    <definedName name="SD_D_PL_IssuingAuthority_Value" hidden="1">SD_Dropdowns!$GR$2:$GR$4</definedName>
    <definedName name="SD_D_PL_Jurisdiction" hidden="1">SD_Dropdowns!$FQ$2:$FR$57</definedName>
    <definedName name="SD_D_PL_Jurisdiction_Name" hidden="1">SD_Dropdowns!$FQ$2:$FQ$57</definedName>
    <definedName name="SD_D_PL_Jurisdiction_Value" hidden="1">SD_Dropdowns!$FR$2:$FR$57</definedName>
    <definedName name="SD_D_PL_NonProfitType" hidden="1">SD_Dropdowns!$FY$2:$FZ$5</definedName>
    <definedName name="SD_D_PL_NonProfitType_Name" hidden="1">SD_Dropdowns!$FY$2:$FY$5</definedName>
    <definedName name="SD_D_PL_NonProfitType_Value" hidden="1">SD_Dropdowns!$FZ$2:$FZ$5</definedName>
    <definedName name="SD_D_PL_OwnershipType" hidden="1">SD_Dropdowns!$FW$2:$FX$7</definedName>
    <definedName name="SD_D_PL_OwnershipType_Name" hidden="1">SD_Dropdowns!$FW$2:$FW$7</definedName>
    <definedName name="SD_D_PL_OwnershipType_Value" hidden="1">SD_Dropdowns!$FX$2:$FX$7</definedName>
    <definedName name="SD_D_PL_PropertyType" hidden="1">SD_Dropdowns!$DC$2:$DD$5</definedName>
    <definedName name="SD_D_PL_PropertyType_Name" hidden="1">SD_Dropdowns!$DC$2:$DC$5</definedName>
    <definedName name="SD_D_PL_PropertyType_Value" hidden="1">SD_Dropdowns!$DD$2:$DD$5</definedName>
    <definedName name="SD_D_PL_ResidentialApartmentType" hidden="1">SD_Dropdowns!$DG$2:$DH$8</definedName>
    <definedName name="SD_D_PL_ResidentialApartmentType_Name" hidden="1">SD_Dropdowns!$DG$2:$DG$8</definedName>
    <definedName name="SD_D_PL_ResidentialApartmentType_Value" hidden="1">SD_Dropdowns!$DH$2:$DH$8</definedName>
    <definedName name="SD_D_PL_SiteControlType" hidden="1">SD_Dropdowns!$GE$2:$GF$7</definedName>
    <definedName name="SD_D_PL_SiteControlType_Name" hidden="1">SD_Dropdowns!$GE$2:$GE$7</definedName>
    <definedName name="SD_D_PL_SiteControlType_Value" hidden="1">SD_Dropdowns!$GF$2:$GF$7</definedName>
    <definedName name="SD_D_PL_State" hidden="1">SD_Dropdowns!$FO$2:$FP$53</definedName>
    <definedName name="SD_D_PL_State_Name" hidden="1">SD_Dropdowns!$FO$2:$FO$53</definedName>
    <definedName name="SD_D_PL_State_Value" hidden="1">SD_Dropdowns!$FP$2:$FP$53</definedName>
    <definedName name="SD_D_PL_TargetType" hidden="1">SD_Dropdowns!$GA$2:$GB$5</definedName>
    <definedName name="SD_D_PL_TargetType_Name" hidden="1">SD_Dropdowns!$GA$2:$GA$5</definedName>
    <definedName name="SD_D_PL_TargetType_Value" hidden="1">SD_Dropdowns!$GB$2:$GB$5</definedName>
    <definedName name="SD_D_PL_TaxCreditPercentType" hidden="1">SD_Dropdowns!$FU$2:$FV$12</definedName>
    <definedName name="SD_D_PL_TaxCreditPercentType_Name" hidden="1">SD_Dropdowns!$FU$2:$FU$12</definedName>
    <definedName name="SD_D_PL_TaxCreditPercentType_Value" hidden="1">SD_Dropdowns!$FV$2:$FV$12</definedName>
    <definedName name="SD_D_PL_TCDealFeeType" hidden="1">SD_Dropdowns!$FM$2:$FN$8</definedName>
    <definedName name="SD_D_PL_TCDealFeeType_Name" hidden="1">SD_Dropdowns!$FM$2:$FM$8</definedName>
    <definedName name="SD_D_PL_TCDealFeeType_Value" hidden="1">SD_Dropdowns!$FN$2:$FN$8</definedName>
    <definedName name="SD_D_PL_TCUnitMixType" hidden="1">SD_Dropdowns!$GO$2:$GP$7</definedName>
    <definedName name="SD_D_PL_TCUnitMixType_Name" hidden="1">SD_Dropdowns!$GO$2:$GO$7</definedName>
    <definedName name="SD_D_PL_TCUnitMixType_Value" hidden="1">SD_Dropdowns!$GP$2:$GP$7</definedName>
    <definedName name="SD_D_PL_TCUnitType" hidden="1">SD_Dropdowns!$GI$2:$GJ$22</definedName>
    <definedName name="SD_D_PL_TCUnitType_Name" hidden="1">SD_Dropdowns!$GI$2:$GI$22</definedName>
    <definedName name="SD_D_PL_TCUnitType_Value" hidden="1">SD_Dropdowns!$GJ$2:$GJ$22</definedName>
    <definedName name="SD_D_PL_TypeofAllocationRequested" hidden="1">SD_Dropdowns!$FS$2:$FT$4</definedName>
    <definedName name="SD_D_PL_TypeofAllocationRequested_Name" hidden="1">SD_Dropdowns!$FS$2:$FS$4</definedName>
    <definedName name="SD_D_PL_TypeofAllocationRequested_Value" hidden="1">SD_Dropdowns!$FT$2:$FT$4</definedName>
  </definedNames>
  <calcPr calcId="191029" iterate="1"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43" i="23" l="1"/>
  <c r="D8" i="104"/>
  <c r="S21" i="86"/>
  <c r="W50" i="87"/>
  <c r="W44" i="87"/>
  <c r="W32" i="68"/>
  <c r="O43" i="67"/>
  <c r="Y37" i="66"/>
  <c r="Z7" i="66"/>
  <c r="AC15" i="66"/>
  <c r="AB15" i="66"/>
  <c r="Z13" i="66"/>
  <c r="S48" i="86"/>
  <c r="S46" i="86"/>
  <c r="S27" i="86"/>
  <c r="V50" i="64"/>
  <c r="V48" i="64"/>
  <c r="T48" i="64"/>
  <c r="G45" i="69"/>
  <c r="H32" i="42"/>
  <c r="F32" i="42"/>
  <c r="D32" i="42"/>
  <c r="Y18" i="1"/>
  <c r="C8" i="81"/>
  <c r="Q30" i="87"/>
  <c r="C76" i="81"/>
  <c r="C73" i="81"/>
  <c r="C75" i="81"/>
  <c r="C74" i="81"/>
  <c r="C77" i="81"/>
  <c r="O43" i="51"/>
  <c r="O42" i="51"/>
  <c r="O41" i="51"/>
  <c r="O40" i="51"/>
  <c r="O39" i="51"/>
  <c r="AF39" i="51"/>
  <c r="AT43" i="51"/>
  <c r="AT42" i="51"/>
  <c r="AT41" i="51"/>
  <c r="AT40" i="51"/>
  <c r="AT39" i="51"/>
  <c r="AQ39" i="51"/>
  <c r="AP43" i="51"/>
  <c r="AP42" i="51"/>
  <c r="AP41" i="51"/>
  <c r="AP40" i="51"/>
  <c r="AP39" i="51"/>
  <c r="AO43" i="51"/>
  <c r="AO42" i="51"/>
  <c r="AO41" i="51"/>
  <c r="AO40" i="51"/>
  <c r="AO39" i="51"/>
  <c r="AL43" i="51"/>
  <c r="AL42" i="51"/>
  <c r="AL41" i="51"/>
  <c r="AL40" i="51"/>
  <c r="AL39" i="51"/>
  <c r="AQ22" i="51"/>
  <c r="AQ21" i="51"/>
  <c r="AQ20" i="51"/>
  <c r="AQ19" i="51"/>
  <c r="AQ18" i="51"/>
  <c r="AO22" i="51"/>
  <c r="AO21" i="51"/>
  <c r="AO20" i="51"/>
  <c r="AO19" i="51"/>
  <c r="AO18" i="51"/>
  <c r="AF43" i="51"/>
  <c r="AF42" i="51"/>
  <c r="AF41" i="51"/>
  <c r="AF40" i="51"/>
  <c r="AF17" i="51"/>
  <c r="AF16" i="51"/>
  <c r="C43" i="81"/>
  <c r="B37" i="82"/>
  <c r="C39" i="104"/>
  <c r="U11" i="42"/>
  <c r="S11" i="42"/>
  <c r="Q11" i="42"/>
  <c r="AF22" i="51"/>
  <c r="AF21" i="51"/>
  <c r="AF20" i="51"/>
  <c r="AF19" i="51"/>
  <c r="AF18" i="51"/>
  <c r="F43" i="23"/>
  <c r="F42" i="23"/>
  <c r="F23" i="23"/>
  <c r="F22" i="23"/>
  <c r="F11" i="23"/>
  <c r="AA11" i="23"/>
  <c r="AA7" i="23"/>
  <c r="F7" i="23"/>
  <c r="F6" i="23"/>
  <c r="F10" i="23"/>
  <c r="V50" i="69" a="1"/>
  <c r="V50" i="69"/>
  <c r="T50" i="69"/>
  <c r="U50" i="69" a="1"/>
  <c r="U50" i="69"/>
  <c r="T49" i="69"/>
  <c r="U49" i="69" a="1"/>
  <c r="U49" i="69"/>
  <c r="T48" i="69"/>
  <c r="U48" i="69" a="1"/>
  <c r="U48" i="69"/>
  <c r="AD18" i="69"/>
  <c r="AD15" i="69"/>
  <c r="AD12" i="69"/>
  <c r="AD9" i="69"/>
  <c r="AD6" i="69"/>
  <c r="V48" i="69" a="1"/>
  <c r="V48" i="69"/>
  <c r="V49" i="69" a="1"/>
  <c r="V49" i="69"/>
  <c r="W26" i="68"/>
  <c r="W38" i="68"/>
  <c r="O39" i="67"/>
  <c r="O36" i="64"/>
  <c r="AD66" i="58"/>
  <c r="AJ68" i="58"/>
  <c r="AJ67" i="58"/>
  <c r="AB64" i="58"/>
  <c r="AB66" i="58"/>
  <c r="AH66" i="58"/>
  <c r="T23" i="58"/>
  <c r="T21" i="58"/>
  <c r="H22" i="58"/>
  <c r="D19" i="60"/>
  <c r="AC66" i="58"/>
  <c r="AC67" i="58"/>
  <c r="AC68" i="58"/>
  <c r="AC69" i="58"/>
  <c r="AC70" i="58"/>
  <c r="AC71" i="58"/>
  <c r="AC72" i="58"/>
  <c r="AC73" i="58"/>
  <c r="AC74" i="58"/>
  <c r="AC75" i="58"/>
  <c r="AC76" i="58"/>
  <c r="AC77" i="58"/>
  <c r="AC78" i="58"/>
  <c r="AC79" i="58"/>
  <c r="AC80" i="58"/>
  <c r="AC81" i="58"/>
  <c r="AC82" i="58"/>
  <c r="AC83" i="58"/>
  <c r="AC84" i="58"/>
  <c r="AC85" i="58"/>
  <c r="AC86" i="58"/>
  <c r="AC87" i="58"/>
  <c r="AC88" i="58"/>
  <c r="AC89" i="58"/>
  <c r="AC90" i="58"/>
  <c r="AC91" i="58"/>
  <c r="AC92" i="58"/>
  <c r="AC93" i="58"/>
  <c r="AC94" i="58"/>
  <c r="AC95" i="58"/>
  <c r="AC96" i="58"/>
  <c r="AC97" i="58"/>
  <c r="AC98" i="58"/>
  <c r="AC99" i="58"/>
  <c r="AC100" i="58"/>
  <c r="AC101" i="58"/>
  <c r="AC102" i="58"/>
  <c r="AC103" i="58"/>
  <c r="AC104" i="58"/>
  <c r="AC105" i="58"/>
  <c r="AC106" i="58"/>
  <c r="AC107" i="58"/>
  <c r="AC108" i="58"/>
  <c r="AC109" i="58"/>
  <c r="AC110" i="58"/>
  <c r="AC111" i="58"/>
  <c r="AC112" i="58"/>
  <c r="AC113" i="58"/>
  <c r="AC114" i="58"/>
  <c r="AC115" i="58"/>
  <c r="AC116" i="58"/>
  <c r="AC117" i="58"/>
  <c r="AC118" i="58"/>
  <c r="AC119" i="58"/>
  <c r="AC120" i="58"/>
  <c r="AC121" i="58"/>
  <c r="AC122" i="58"/>
  <c r="AC123" i="58"/>
  <c r="AC124" i="58"/>
  <c r="AC125" i="58"/>
  <c r="AC126" i="58"/>
  <c r="AC127" i="58"/>
  <c r="AC128" i="58"/>
  <c r="AC129" i="58"/>
  <c r="AC130" i="58"/>
  <c r="AC131" i="58"/>
  <c r="AC132" i="58"/>
  <c r="AC133" i="58"/>
  <c r="AC134" i="58"/>
  <c r="AC135" i="58"/>
  <c r="AC136" i="58"/>
  <c r="AC137" i="58"/>
  <c r="AC138" i="58"/>
  <c r="AC139" i="58"/>
  <c r="AC140" i="58"/>
  <c r="AC141" i="58"/>
  <c r="AC142" i="58"/>
  <c r="AC143" i="58"/>
  <c r="AC144" i="58"/>
  <c r="AC145" i="58"/>
  <c r="AC146" i="58"/>
  <c r="AC147" i="58"/>
  <c r="AC148" i="58"/>
  <c r="AC149" i="58"/>
  <c r="AC150" i="58"/>
  <c r="AC151" i="58"/>
  <c r="AC152" i="58"/>
  <c r="AC153" i="58"/>
  <c r="AC154" i="58"/>
  <c r="AC155" i="58"/>
  <c r="AC156" i="58"/>
  <c r="AC157" i="58"/>
  <c r="AC158" i="58"/>
  <c r="AC159" i="58"/>
  <c r="AC160" i="58"/>
  <c r="AC161" i="58"/>
  <c r="AC162" i="58"/>
  <c r="AC163" i="58"/>
  <c r="AC164" i="58"/>
  <c r="AC165" i="58"/>
  <c r="AC166" i="58"/>
  <c r="AC167" i="58"/>
  <c r="AC168" i="58"/>
  <c r="AC169" i="58"/>
  <c r="AC170" i="58"/>
  <c r="AC171" i="58"/>
  <c r="AC172" i="58"/>
  <c r="AC173" i="58"/>
  <c r="AC174" i="58"/>
  <c r="AC175" i="58"/>
  <c r="AC176" i="58"/>
  <c r="AC177" i="58"/>
  <c r="AC178" i="58"/>
  <c r="AC179" i="58"/>
  <c r="AC180" i="58"/>
  <c r="AC181" i="58"/>
  <c r="AC182" i="58"/>
  <c r="AC183" i="58"/>
  <c r="AC184" i="58"/>
  <c r="AC185" i="58"/>
  <c r="AC186" i="58"/>
  <c r="AC187" i="58"/>
  <c r="AC188" i="58"/>
  <c r="AC189" i="58"/>
  <c r="AC190" i="58"/>
  <c r="AC191" i="58"/>
  <c r="AC192" i="58"/>
  <c r="AC193" i="58"/>
  <c r="AC194" i="58"/>
  <c r="AC195" i="58"/>
  <c r="AC196" i="58"/>
  <c r="AC197" i="58"/>
  <c r="AC198" i="58"/>
  <c r="AC199" i="58"/>
  <c r="AC200" i="58"/>
  <c r="AC201" i="58"/>
  <c r="AC202" i="58"/>
  <c r="AC203" i="58"/>
  <c r="AC204" i="58"/>
  <c r="AC205" i="58"/>
  <c r="AC206" i="58"/>
  <c r="AC207" i="58"/>
  <c r="AC208" i="58"/>
  <c r="AC209" i="58"/>
  <c r="AC210" i="58"/>
  <c r="AC211" i="58"/>
  <c r="AC212" i="58"/>
  <c r="AC213" i="58"/>
  <c r="AC214" i="58"/>
  <c r="AC215" i="58"/>
  <c r="AC216" i="58"/>
  <c r="AC217" i="58"/>
  <c r="AC218" i="58"/>
  <c r="AC219" i="58"/>
  <c r="AC220" i="58"/>
  <c r="AC221" i="58"/>
  <c r="AC222" i="58"/>
  <c r="AC223" i="58"/>
  <c r="AC224" i="58"/>
  <c r="AC225" i="58"/>
  <c r="AC226" i="58"/>
  <c r="AC227" i="58"/>
  <c r="AC228" i="58"/>
  <c r="AC229" i="58"/>
  <c r="AC230" i="58"/>
  <c r="AC231" i="58"/>
  <c r="AC232" i="58"/>
  <c r="AC233" i="58"/>
  <c r="AC234" i="58"/>
  <c r="AC235" i="58"/>
  <c r="AC236" i="58"/>
  <c r="AC237" i="58"/>
  <c r="AC238" i="58"/>
  <c r="AC239" i="58"/>
  <c r="AC240" i="58"/>
  <c r="AC241" i="58"/>
  <c r="AC242" i="58"/>
  <c r="AC243" i="58"/>
  <c r="AC244" i="58"/>
  <c r="AC245" i="58"/>
  <c r="AC246" i="58"/>
  <c r="AC247" i="58"/>
  <c r="AC248" i="58"/>
  <c r="AC249" i="58"/>
  <c r="AC250" i="58"/>
  <c r="AC251" i="58"/>
  <c r="AC252" i="58"/>
  <c r="AC253" i="58"/>
  <c r="AC254" i="58"/>
  <c r="AC255" i="58"/>
  <c r="AC256" i="58"/>
  <c r="AC257" i="58"/>
  <c r="AC258" i="58"/>
  <c r="AC259" i="58"/>
  <c r="AC260" i="58"/>
  <c r="AC261" i="58"/>
  <c r="AC262" i="58"/>
  <c r="AC263" i="58"/>
  <c r="AC264" i="58"/>
  <c r="AC265" i="58"/>
  <c r="AC266" i="58"/>
  <c r="AC267" i="58"/>
  <c r="AC268" i="58"/>
  <c r="AC269" i="58"/>
  <c r="AC270" i="58"/>
  <c r="AC271" i="58"/>
  <c r="AC272" i="58"/>
  <c r="AC273" i="58"/>
  <c r="AC274" i="58"/>
  <c r="AC275" i="58"/>
  <c r="AC276" i="58"/>
  <c r="AC277" i="58"/>
  <c r="AC278" i="58"/>
  <c r="AC279" i="58"/>
  <c r="AC280" i="58"/>
  <c r="AC281" i="58"/>
  <c r="AC282" i="58"/>
  <c r="AC283" i="58"/>
  <c r="AC284" i="58"/>
  <c r="AC285" i="58"/>
  <c r="AC286" i="58"/>
  <c r="AC287" i="58"/>
  <c r="AC288" i="58"/>
  <c r="AC289" i="58"/>
  <c r="AC290" i="58"/>
  <c r="AC291" i="58"/>
  <c r="AC292" i="58"/>
  <c r="AC293" i="58"/>
  <c r="AC294" i="58"/>
  <c r="AC295" i="58"/>
  <c r="AC296" i="58"/>
  <c r="AC297" i="58"/>
  <c r="AC298" i="58"/>
  <c r="AC299" i="58"/>
  <c r="AC300" i="58"/>
  <c r="AC301" i="58"/>
  <c r="AC302" i="58"/>
  <c r="AC303" i="58"/>
  <c r="AC304" i="58"/>
  <c r="AC305" i="58"/>
  <c r="AC306" i="58"/>
  <c r="AC307" i="58"/>
  <c r="AC308" i="58"/>
  <c r="AC309" i="58"/>
  <c r="AC310" i="58"/>
  <c r="AC311" i="58"/>
  <c r="AC312" i="58"/>
  <c r="AC313" i="58"/>
  <c r="AC314" i="58"/>
  <c r="AC315" i="58"/>
  <c r="AC316" i="58"/>
  <c r="AC317" i="58"/>
  <c r="AC318" i="58"/>
  <c r="AC319" i="58"/>
  <c r="AC320" i="58"/>
  <c r="AC321" i="58"/>
  <c r="AC322" i="58"/>
  <c r="AC323" i="58"/>
  <c r="AC324" i="58"/>
  <c r="AC325" i="58"/>
  <c r="AC326" i="58"/>
  <c r="AC327" i="58"/>
  <c r="AC328" i="58"/>
  <c r="AC329" i="58"/>
  <c r="AC330" i="58"/>
  <c r="AC331" i="58"/>
  <c r="AC332" i="58"/>
  <c r="AC333" i="58"/>
  <c r="AC334" i="58"/>
  <c r="AC335" i="58"/>
  <c r="AC336" i="58"/>
  <c r="AC337" i="58"/>
  <c r="AC338" i="58"/>
  <c r="AC339" i="58"/>
  <c r="AC340" i="58"/>
  <c r="AC341" i="58"/>
  <c r="AC342" i="58"/>
  <c r="AC343" i="58"/>
  <c r="AC344" i="58"/>
  <c r="AC345" i="58"/>
  <c r="AC346" i="58"/>
  <c r="AC347" i="58"/>
  <c r="AC348" i="58"/>
  <c r="AC349" i="58"/>
  <c r="AC350" i="58"/>
  <c r="AC351" i="58"/>
  <c r="AC352" i="58"/>
  <c r="AC353" i="58"/>
  <c r="AC354" i="58"/>
  <c r="AC355" i="58"/>
  <c r="AC356" i="58"/>
  <c r="AC357" i="58"/>
  <c r="AC358" i="58"/>
  <c r="AC359" i="58"/>
  <c r="AC360" i="58"/>
  <c r="AC361" i="58"/>
  <c r="AC362" i="58"/>
  <c r="AC363" i="58"/>
  <c r="AC364" i="58"/>
  <c r="AC365" i="58"/>
  <c r="AC366" i="58"/>
  <c r="AC367" i="58"/>
  <c r="AC368" i="58"/>
  <c r="AC369" i="58"/>
  <c r="AC370" i="58"/>
  <c r="AC371" i="58"/>
  <c r="AC372" i="58"/>
  <c r="AC373" i="58"/>
  <c r="AC374" i="58"/>
  <c r="AC375" i="58"/>
  <c r="AC376" i="58"/>
  <c r="AC377" i="58"/>
  <c r="AC378" i="58"/>
  <c r="AC379" i="58"/>
  <c r="AC380" i="58"/>
  <c r="AC381" i="58"/>
  <c r="AC382" i="58"/>
  <c r="AC383" i="58"/>
  <c r="AC384" i="58"/>
  <c r="AC385" i="58"/>
  <c r="AC386" i="58"/>
  <c r="AC387" i="58"/>
  <c r="AC388" i="58"/>
  <c r="AC389" i="58"/>
  <c r="AC390" i="58"/>
  <c r="AC391" i="58"/>
  <c r="AC392" i="58"/>
  <c r="AC393" i="58"/>
  <c r="AC394" i="58"/>
  <c r="AC395" i="58"/>
  <c r="AC396" i="58"/>
  <c r="AC397" i="58"/>
  <c r="AC398" i="58"/>
  <c r="AC399" i="58"/>
  <c r="AC400" i="58"/>
  <c r="AC401" i="58"/>
  <c r="AC402" i="58"/>
  <c r="AC403" i="58"/>
  <c r="AC404" i="58"/>
  <c r="AC405" i="58"/>
  <c r="AC406" i="58"/>
  <c r="AC407" i="58"/>
  <c r="AC408" i="58"/>
  <c r="AC409" i="58"/>
  <c r="AC410" i="58"/>
  <c r="AC411" i="58"/>
  <c r="AC412" i="58"/>
  <c r="AC413" i="58"/>
  <c r="AC414" i="58"/>
  <c r="AC415" i="58"/>
  <c r="AC416" i="58"/>
  <c r="AC417" i="58"/>
  <c r="AC418" i="58"/>
  <c r="AC419" i="58"/>
  <c r="AC420" i="58"/>
  <c r="AC421" i="58"/>
  <c r="AC422" i="58"/>
  <c r="AC423" i="58"/>
  <c r="AC424" i="58"/>
  <c r="AC425" i="58"/>
  <c r="AC426" i="58"/>
  <c r="AC427" i="58"/>
  <c r="AC428" i="58"/>
  <c r="AC429" i="58"/>
  <c r="AC430" i="58"/>
  <c r="AC431" i="58"/>
  <c r="AC432" i="58"/>
  <c r="AC433" i="58"/>
  <c r="AC434" i="58"/>
  <c r="AC435" i="58"/>
  <c r="AC436" i="58"/>
  <c r="AC437" i="58"/>
  <c r="AC438" i="58"/>
  <c r="AC439" i="58"/>
  <c r="AC440" i="58"/>
  <c r="AC441" i="58"/>
  <c r="AC442" i="58"/>
  <c r="AC443" i="58"/>
  <c r="AC444" i="58"/>
  <c r="AC445" i="58"/>
  <c r="AC446" i="58"/>
  <c r="AC447" i="58"/>
  <c r="AC448" i="58"/>
  <c r="AC449" i="58"/>
  <c r="AC450" i="58"/>
  <c r="AC451" i="58"/>
  <c r="AC452" i="58"/>
  <c r="AC453" i="58"/>
  <c r="AC454" i="58"/>
  <c r="AC455" i="58"/>
  <c r="AC456" i="58"/>
  <c r="AC457" i="58"/>
  <c r="AC458" i="58"/>
  <c r="AC459" i="58"/>
  <c r="AC460" i="58"/>
  <c r="AC461" i="58"/>
  <c r="AC462" i="58"/>
  <c r="AC463" i="58"/>
  <c r="AC464" i="58"/>
  <c r="AC465" i="58"/>
  <c r="AC466" i="58"/>
  <c r="AC467" i="58"/>
  <c r="AC468" i="58"/>
  <c r="AC469" i="58"/>
  <c r="AC470" i="58"/>
  <c r="AC471" i="58"/>
  <c r="AC472" i="58"/>
  <c r="AC473" i="58"/>
  <c r="AC474" i="58"/>
  <c r="AC475" i="58"/>
  <c r="AC476" i="58"/>
  <c r="AC477" i="58"/>
  <c r="AC478" i="58"/>
  <c r="AC479" i="58"/>
  <c r="AC480" i="58"/>
  <c r="AC481" i="58"/>
  <c r="AC482" i="58"/>
  <c r="AC483" i="58"/>
  <c r="AC484" i="58"/>
  <c r="AC485" i="58"/>
  <c r="AC486" i="58"/>
  <c r="AC487" i="58"/>
  <c r="AC488" i="58"/>
  <c r="AC489" i="58"/>
  <c r="AC490" i="58"/>
  <c r="AC491" i="58"/>
  <c r="AC492" i="58"/>
  <c r="AC493" i="58"/>
  <c r="AC494" i="58"/>
  <c r="AC495" i="58"/>
  <c r="AC496" i="58"/>
  <c r="AC497" i="58"/>
  <c r="AC498" i="58"/>
  <c r="AC499" i="58"/>
  <c r="AC500" i="58"/>
  <c r="AC501" i="58"/>
  <c r="AC502" i="58"/>
  <c r="AC503" i="58"/>
  <c r="AC504" i="58"/>
  <c r="AC505" i="58"/>
  <c r="AC506" i="58"/>
  <c r="AC507" i="58"/>
  <c r="AC508" i="58"/>
  <c r="AC509" i="58"/>
  <c r="AC510" i="58"/>
  <c r="AC511" i="58"/>
  <c r="AC512" i="58"/>
  <c r="AC513" i="58"/>
  <c r="AC514" i="58"/>
  <c r="AC515" i="58"/>
  <c r="AC516" i="58"/>
  <c r="AC517" i="58"/>
  <c r="AC518" i="58"/>
  <c r="AC519" i="58"/>
  <c r="AC520" i="58"/>
  <c r="AC521" i="58"/>
  <c r="AC522" i="58"/>
  <c r="AC523" i="58"/>
  <c r="AC524" i="58"/>
  <c r="AC525" i="58"/>
  <c r="AC526" i="58"/>
  <c r="AC527" i="58"/>
  <c r="AC528" i="58"/>
  <c r="AC529" i="58"/>
  <c r="AC530" i="58"/>
  <c r="AC531" i="58"/>
  <c r="AC532" i="58"/>
  <c r="AC533" i="58"/>
  <c r="AC534" i="58"/>
  <c r="AC535" i="58"/>
  <c r="AC536" i="58"/>
  <c r="AC537" i="58"/>
  <c r="AC538" i="58"/>
  <c r="AC539" i="58"/>
  <c r="AC540" i="58"/>
  <c r="AC541" i="58"/>
  <c r="AC542" i="58"/>
  <c r="AC543" i="58"/>
  <c r="AC544" i="58"/>
  <c r="AC545" i="58"/>
  <c r="T22" i="58"/>
  <c r="X23" i="58"/>
  <c r="AD67" i="58"/>
  <c r="AF66" i="58"/>
  <c r="AG66" i="58"/>
  <c r="AD68" i="58"/>
  <c r="AF67" i="58"/>
  <c r="AB67" i="58"/>
  <c r="AD69" i="58"/>
  <c r="AF68" i="58"/>
  <c r="AG67" i="58"/>
  <c r="AB68" i="58"/>
  <c r="AF69" i="58"/>
  <c r="AD70" i="58"/>
  <c r="AG68" i="58"/>
  <c r="AB69" i="58"/>
  <c r="AF70" i="58"/>
  <c r="AD71" i="58"/>
  <c r="AD72" i="58"/>
  <c r="AF71" i="58"/>
  <c r="AG69" i="58"/>
  <c r="AB70" i="58"/>
  <c r="AG70" i="58"/>
  <c r="AB71" i="58"/>
  <c r="AD73" i="58"/>
  <c r="AF72" i="58"/>
  <c r="AG71" i="58"/>
  <c r="AB72" i="58"/>
  <c r="AD74" i="58"/>
  <c r="AF73" i="58"/>
  <c r="AG72" i="58"/>
  <c r="AB73" i="58"/>
  <c r="AF74" i="58"/>
  <c r="AD75" i="58"/>
  <c r="AG73" i="58"/>
  <c r="AB74" i="58"/>
  <c r="AF75" i="58"/>
  <c r="AD76" i="58"/>
  <c r="AG74" i="58"/>
  <c r="AB75" i="58"/>
  <c r="AF76" i="58"/>
  <c r="AD77" i="58"/>
  <c r="AG75" i="58"/>
  <c r="AB76" i="58"/>
  <c r="AF77" i="58"/>
  <c r="AD78" i="58"/>
  <c r="AG76" i="58"/>
  <c r="AB77" i="58"/>
  <c r="AF78" i="58"/>
  <c r="AD79" i="58"/>
  <c r="AG77" i="58"/>
  <c r="AD80" i="58"/>
  <c r="AF79" i="58"/>
  <c r="AB78" i="58"/>
  <c r="AH78" i="58"/>
  <c r="E19" i="60"/>
  <c r="AF80" i="58"/>
  <c r="AD81" i="58"/>
  <c r="AF81" i="58"/>
  <c r="AD82" i="58"/>
  <c r="AG78" i="58"/>
  <c r="AB79" i="58"/>
  <c r="AF82" i="58"/>
  <c r="AD83" i="58"/>
  <c r="AG79" i="58"/>
  <c r="AB80" i="58"/>
  <c r="AG80" i="58"/>
  <c r="AD84" i="58"/>
  <c r="AF83" i="58"/>
  <c r="AD85" i="58"/>
  <c r="AF84" i="58"/>
  <c r="AB81" i="58"/>
  <c r="AD86" i="58"/>
  <c r="AF85" i="58"/>
  <c r="AG81" i="58"/>
  <c r="AD87" i="58"/>
  <c r="AF86" i="58"/>
  <c r="AB82" i="58"/>
  <c r="AG82" i="58"/>
  <c r="AB83" i="58"/>
  <c r="AD88" i="58"/>
  <c r="AF87" i="58"/>
  <c r="AF88" i="58"/>
  <c r="AD89" i="58"/>
  <c r="AG83" i="58"/>
  <c r="AB84" i="58"/>
  <c r="AG84" i="58"/>
  <c r="AB85" i="58"/>
  <c r="AD90" i="58"/>
  <c r="AF89" i="58"/>
  <c r="AG85" i="58"/>
  <c r="AB86" i="58"/>
  <c r="AD91" i="58"/>
  <c r="AF90" i="58"/>
  <c r="AG86" i="58"/>
  <c r="AB87" i="58"/>
  <c r="AD92" i="58"/>
  <c r="AF91" i="58"/>
  <c r="AG87" i="58"/>
  <c r="AB88" i="58"/>
  <c r="AD93" i="58"/>
  <c r="AF92" i="58"/>
  <c r="AG88" i="58"/>
  <c r="AB89" i="58"/>
  <c r="AD94" i="58"/>
  <c r="AF93" i="58"/>
  <c r="AG89" i="58"/>
  <c r="AD95" i="58"/>
  <c r="AF94" i="58"/>
  <c r="AF95" i="58"/>
  <c r="AD96" i="58"/>
  <c r="AB90" i="58"/>
  <c r="AH90" i="58"/>
  <c r="F19" i="60"/>
  <c r="AF96" i="58"/>
  <c r="AD97" i="58"/>
  <c r="AG90" i="58"/>
  <c r="AB91" i="58"/>
  <c r="AG91" i="58"/>
  <c r="AB92" i="58"/>
  <c r="AD98" i="58"/>
  <c r="AF97" i="58"/>
  <c r="AG92" i="58"/>
  <c r="AD99" i="58"/>
  <c r="AF98" i="58"/>
  <c r="AB93" i="58"/>
  <c r="AD100" i="58"/>
  <c r="AF99" i="58"/>
  <c r="AG93" i="58"/>
  <c r="AB94" i="58"/>
  <c r="AD101" i="58"/>
  <c r="AF100" i="58"/>
  <c r="AG94" i="58"/>
  <c r="AB95" i="58"/>
  <c r="AF101" i="58"/>
  <c r="AD102" i="58"/>
  <c r="AG95" i="58"/>
  <c r="AB96" i="58"/>
  <c r="AF102" i="58"/>
  <c r="AD103" i="58"/>
  <c r="AG96" i="58"/>
  <c r="AB97" i="58"/>
  <c r="AD104" i="58"/>
  <c r="AF103" i="58"/>
  <c r="AG97" i="58"/>
  <c r="AB98" i="58"/>
  <c r="AD105" i="58"/>
  <c r="AF104" i="58"/>
  <c r="AG98" i="58"/>
  <c r="AB99" i="58"/>
  <c r="AD106" i="58"/>
  <c r="AF105" i="58"/>
  <c r="AG99" i="58"/>
  <c r="AB100" i="58"/>
  <c r="AD107" i="58"/>
  <c r="AF106" i="58"/>
  <c r="AG100" i="58"/>
  <c r="AB101" i="58"/>
  <c r="AD108" i="58"/>
  <c r="AF107" i="58"/>
  <c r="AG101" i="58"/>
  <c r="AD109" i="58"/>
  <c r="AF108" i="58"/>
  <c r="AB102" i="58"/>
  <c r="AH102" i="58"/>
  <c r="G19" i="60"/>
  <c r="AF109" i="58"/>
  <c r="AD110" i="58"/>
  <c r="AG102" i="58"/>
  <c r="AB103" i="58"/>
  <c r="AF110" i="58"/>
  <c r="AD111" i="58"/>
  <c r="AG103" i="58"/>
  <c r="AB104" i="58"/>
  <c r="AD112" i="58"/>
  <c r="AF111" i="58"/>
  <c r="AG104" i="58"/>
  <c r="AB105" i="58"/>
  <c r="AG105" i="58"/>
  <c r="AD113" i="58"/>
  <c r="AF112" i="58"/>
  <c r="AD114" i="58"/>
  <c r="AF113" i="58"/>
  <c r="AB106" i="58"/>
  <c r="AD115" i="58"/>
  <c r="AF114" i="58"/>
  <c r="AG106" i="58"/>
  <c r="AB107" i="58"/>
  <c r="AG107" i="58"/>
  <c r="AB108" i="58"/>
  <c r="AF115" i="58"/>
  <c r="AD116" i="58"/>
  <c r="AF116" i="58"/>
  <c r="AD117" i="58"/>
  <c r="AG108" i="58"/>
  <c r="AB109" i="58"/>
  <c r="AG109" i="58"/>
  <c r="AB110" i="58"/>
  <c r="AF117" i="58"/>
  <c r="AD118" i="58"/>
  <c r="AG110" i="58"/>
  <c r="AB111" i="58"/>
  <c r="AD119" i="58"/>
  <c r="AF118" i="58"/>
  <c r="AG111" i="58"/>
  <c r="AB112" i="58"/>
  <c r="AD120" i="58"/>
  <c r="AF119" i="58"/>
  <c r="AD121" i="58"/>
  <c r="AF120" i="58"/>
  <c r="AG112" i="58"/>
  <c r="AB113" i="58"/>
  <c r="AD122" i="58"/>
  <c r="AF121" i="58"/>
  <c r="AG113" i="58"/>
  <c r="AD123" i="58"/>
  <c r="AF122" i="58"/>
  <c r="AB114" i="58"/>
  <c r="AH114" i="58"/>
  <c r="H19" i="60"/>
  <c r="AG114" i="58"/>
  <c r="AD124" i="58"/>
  <c r="AF123" i="58"/>
  <c r="AD125" i="58"/>
  <c r="AF124" i="58"/>
  <c r="AB115" i="58"/>
  <c r="AG115" i="58"/>
  <c r="AB116" i="58"/>
  <c r="AD126" i="58"/>
  <c r="AF125" i="58"/>
  <c r="AG116" i="58"/>
  <c r="AD127" i="58"/>
  <c r="AF126" i="58"/>
  <c r="AB117" i="58"/>
  <c r="AD128" i="58"/>
  <c r="AF127" i="58"/>
  <c r="AG117" i="58"/>
  <c r="AB118" i="58"/>
  <c r="AD129" i="58"/>
  <c r="AF128" i="58"/>
  <c r="AG118" i="58"/>
  <c r="AB119" i="58"/>
  <c r="AD130" i="58"/>
  <c r="AF129" i="58"/>
  <c r="AG119" i="58"/>
  <c r="AB120" i="58"/>
  <c r="AD131" i="58"/>
  <c r="AF130" i="58"/>
  <c r="AG120" i="58"/>
  <c r="AB121" i="58"/>
  <c r="AD132" i="58"/>
  <c r="AF131" i="58"/>
  <c r="AG121" i="58"/>
  <c r="AB122" i="58"/>
  <c r="AD133" i="58"/>
  <c r="AF132" i="58"/>
  <c r="AG122" i="58"/>
  <c r="AB123" i="58"/>
  <c r="AF133" i="58"/>
  <c r="AD134" i="58"/>
  <c r="AG123" i="58"/>
  <c r="AB124" i="58"/>
  <c r="AF134" i="58"/>
  <c r="AD135" i="58"/>
  <c r="AG124" i="58"/>
  <c r="AB125" i="58"/>
  <c r="AF135" i="58"/>
  <c r="AD136" i="58"/>
  <c r="AG125" i="58"/>
  <c r="AD137" i="58"/>
  <c r="AF136" i="58"/>
  <c r="AD138" i="58"/>
  <c r="AF137" i="58"/>
  <c r="AB126" i="58"/>
  <c r="AH126" i="58"/>
  <c r="I19" i="60"/>
  <c r="AD139" i="58"/>
  <c r="AF138" i="58"/>
  <c r="AG126" i="58"/>
  <c r="AF139" i="58"/>
  <c r="AD140" i="58"/>
  <c r="AB127" i="58"/>
  <c r="AG127" i="58"/>
  <c r="AB128" i="58"/>
  <c r="AF140" i="58"/>
  <c r="AD141" i="58"/>
  <c r="AG128" i="58"/>
  <c r="AF141" i="58"/>
  <c r="AD142" i="58"/>
  <c r="AD143" i="58"/>
  <c r="AF142" i="58"/>
  <c r="AB129" i="58"/>
  <c r="AF143" i="58"/>
  <c r="AD144" i="58"/>
  <c r="AG129" i="58"/>
  <c r="AB130" i="58"/>
  <c r="AG130" i="58"/>
  <c r="AB131" i="58"/>
  <c r="AF144" i="58"/>
  <c r="AD145" i="58"/>
  <c r="AG131" i="58"/>
  <c r="AB132" i="58"/>
  <c r="AF145" i="58"/>
  <c r="AD146" i="58"/>
  <c r="AG132" i="58"/>
  <c r="AB133" i="58"/>
  <c r="AD147" i="58"/>
  <c r="AF146" i="58"/>
  <c r="AG133" i="58"/>
  <c r="AB134" i="58"/>
  <c r="AD148" i="58"/>
  <c r="AF147" i="58"/>
  <c r="AG134" i="58"/>
  <c r="AB135" i="58"/>
  <c r="AD149" i="58"/>
  <c r="AF148" i="58"/>
  <c r="AG135" i="58"/>
  <c r="AB136" i="58"/>
  <c r="AD150" i="58"/>
  <c r="AF149" i="58"/>
  <c r="AG136" i="58"/>
  <c r="AB137" i="58"/>
  <c r="AF150" i="58"/>
  <c r="AD151" i="58"/>
  <c r="AF151" i="58"/>
  <c r="AD152" i="58"/>
  <c r="AG137" i="58"/>
  <c r="AD153" i="58"/>
  <c r="AF152" i="58"/>
  <c r="AB138" i="58"/>
  <c r="AH138" i="58"/>
  <c r="J19" i="60"/>
  <c r="AD154" i="58"/>
  <c r="AF153" i="58"/>
  <c r="AG138" i="58"/>
  <c r="AB139" i="58"/>
  <c r="AD155" i="58"/>
  <c r="AF154" i="58"/>
  <c r="AD156" i="58"/>
  <c r="AF155" i="58"/>
  <c r="AG139" i="58"/>
  <c r="AB140" i="58"/>
  <c r="AG140" i="58"/>
  <c r="AB141" i="58"/>
  <c r="AD157" i="58"/>
  <c r="AF156" i="58"/>
  <c r="AG141" i="58"/>
  <c r="AB142" i="58"/>
  <c r="AD158" i="58"/>
  <c r="AF157" i="58"/>
  <c r="AD159" i="58"/>
  <c r="AF158" i="58"/>
  <c r="AG142" i="58"/>
  <c r="AB143" i="58"/>
  <c r="AG143" i="58"/>
  <c r="AB144" i="58"/>
  <c r="AD160" i="58"/>
  <c r="AF159" i="58"/>
  <c r="AG144" i="58"/>
  <c r="AB145" i="58"/>
  <c r="AD161" i="58"/>
  <c r="AF160" i="58"/>
  <c r="AF161" i="58"/>
  <c r="AD162" i="58"/>
  <c r="AG145" i="58"/>
  <c r="AB146" i="58"/>
  <c r="AG146" i="58"/>
  <c r="AB147" i="58"/>
  <c r="AD163" i="58"/>
  <c r="AF162" i="58"/>
  <c r="AG147" i="58"/>
  <c r="AB148" i="58"/>
  <c r="AD164" i="58"/>
  <c r="AF163" i="58"/>
  <c r="AG148" i="58"/>
  <c r="AB149" i="58"/>
  <c r="AD165" i="58"/>
  <c r="AF164" i="58"/>
  <c r="AG149" i="58"/>
  <c r="AD166" i="58"/>
  <c r="AF165" i="58"/>
  <c r="AD167" i="58"/>
  <c r="AF166" i="58"/>
  <c r="AB150" i="58"/>
  <c r="AH150" i="58"/>
  <c r="K19" i="60"/>
  <c r="AG150" i="58"/>
  <c r="AF167" i="58"/>
  <c r="AD168" i="58"/>
  <c r="AB151" i="58"/>
  <c r="AF168" i="58"/>
  <c r="AD169" i="58"/>
  <c r="AF169" i="58"/>
  <c r="AD170" i="58"/>
  <c r="AG151" i="58"/>
  <c r="AB152" i="58"/>
  <c r="AD171" i="58"/>
  <c r="AF170" i="58"/>
  <c r="AG152" i="58"/>
  <c r="AB153" i="58"/>
  <c r="AG153" i="58"/>
  <c r="AF171" i="58"/>
  <c r="AD172" i="58"/>
  <c r="AF172" i="58"/>
  <c r="AD173" i="58"/>
  <c r="AB154" i="58"/>
  <c r="AG154" i="58"/>
  <c r="AB155" i="58"/>
  <c r="AD174" i="58"/>
  <c r="AF173" i="58"/>
  <c r="AG155" i="58"/>
  <c r="AB156" i="58"/>
  <c r="AF174" i="58"/>
  <c r="AD175" i="58"/>
  <c r="AF175" i="58"/>
  <c r="AD176" i="58"/>
  <c r="AG156" i="58"/>
  <c r="AB157" i="58"/>
  <c r="AG157" i="58"/>
  <c r="AB158" i="58"/>
  <c r="AD177" i="58"/>
  <c r="AF176" i="58"/>
  <c r="AG158" i="58"/>
  <c r="AB159" i="58"/>
  <c r="AF177" i="58"/>
  <c r="AD178" i="58"/>
  <c r="AG159" i="58"/>
  <c r="AB160" i="58"/>
  <c r="AF178" i="58"/>
  <c r="AD179" i="58"/>
  <c r="AG160" i="58"/>
  <c r="AB161" i="58"/>
  <c r="AF179" i="58"/>
  <c r="AD180" i="58"/>
  <c r="AD181" i="58"/>
  <c r="AF180" i="58"/>
  <c r="AG161" i="58"/>
  <c r="AB162" i="58"/>
  <c r="AH162" i="58"/>
  <c r="D52" i="60"/>
  <c r="AD182" i="58"/>
  <c r="AF181" i="58"/>
  <c r="AD183" i="58"/>
  <c r="AF182" i="58"/>
  <c r="AG162" i="58"/>
  <c r="AB163" i="58"/>
  <c r="AG163" i="58"/>
  <c r="AB164" i="58"/>
  <c r="AD184" i="58"/>
  <c r="AF183" i="58"/>
  <c r="AG164" i="58"/>
  <c r="AD185" i="58"/>
  <c r="AF184" i="58"/>
  <c r="AF185" i="58"/>
  <c r="AD186" i="58"/>
  <c r="AB165" i="58"/>
  <c r="AG165" i="58"/>
  <c r="AB166" i="58"/>
  <c r="AD187" i="58"/>
  <c r="AF186" i="58"/>
  <c r="AG166" i="58"/>
  <c r="AB167" i="58"/>
  <c r="AD188" i="58"/>
  <c r="AF187" i="58"/>
  <c r="AG167" i="58"/>
  <c r="AB168" i="58"/>
  <c r="AD189" i="58"/>
  <c r="AF188" i="58"/>
  <c r="AG168" i="58"/>
  <c r="AB169" i="58"/>
  <c r="AD190" i="58"/>
  <c r="AF189" i="58"/>
  <c r="AG169" i="58"/>
  <c r="AB170" i="58"/>
  <c r="AD191" i="58"/>
  <c r="AF190" i="58"/>
  <c r="AG170" i="58"/>
  <c r="AB171" i="58"/>
  <c r="AD192" i="58"/>
  <c r="AF191" i="58"/>
  <c r="AD193" i="58"/>
  <c r="AF192" i="58"/>
  <c r="AG171" i="58"/>
  <c r="AB172" i="58"/>
  <c r="AD194" i="58"/>
  <c r="AF193" i="58"/>
  <c r="AG172" i="58"/>
  <c r="AB173" i="58"/>
  <c r="AG173" i="58"/>
  <c r="AD195" i="58"/>
  <c r="AF194" i="58"/>
  <c r="AB174" i="58"/>
  <c r="AH174" i="58"/>
  <c r="E52" i="60"/>
  <c r="AF195" i="58"/>
  <c r="AD196" i="58"/>
  <c r="AG174" i="58"/>
  <c r="AB175" i="58"/>
  <c r="AF196" i="58"/>
  <c r="AD197" i="58"/>
  <c r="AD198" i="58"/>
  <c r="AF197" i="58"/>
  <c r="AG175" i="58"/>
  <c r="AB176" i="58"/>
  <c r="AD199" i="58"/>
  <c r="AF198" i="58"/>
  <c r="AG176" i="58"/>
  <c r="AB177" i="58"/>
  <c r="AD200" i="58"/>
  <c r="AF199" i="58"/>
  <c r="AG177" i="58"/>
  <c r="AB178" i="58"/>
  <c r="AD201" i="58"/>
  <c r="AF200" i="58"/>
  <c r="AG178" i="58"/>
  <c r="AB179" i="58"/>
  <c r="AG179" i="58"/>
  <c r="AB180" i="58"/>
  <c r="AF201" i="58"/>
  <c r="AD202" i="58"/>
  <c r="AG180" i="58"/>
  <c r="AB181" i="58"/>
  <c r="AF202" i="58"/>
  <c r="AD203" i="58"/>
  <c r="AG181" i="58"/>
  <c r="AB182" i="58"/>
  <c r="AF203" i="58"/>
  <c r="AD204" i="58"/>
  <c r="AG182" i="58"/>
  <c r="AB183" i="58"/>
  <c r="AD205" i="58"/>
  <c r="AF204" i="58"/>
  <c r="AG183" i="58"/>
  <c r="AB184" i="58"/>
  <c r="AF205" i="58"/>
  <c r="AD206" i="58"/>
  <c r="AG184" i="58"/>
  <c r="AB185" i="58"/>
  <c r="AF206" i="58"/>
  <c r="AD207" i="58"/>
  <c r="AG185" i="58"/>
  <c r="AF207" i="58"/>
  <c r="AD208" i="58"/>
  <c r="AD209" i="58"/>
  <c r="AF208" i="58"/>
  <c r="AB186" i="58"/>
  <c r="AH186" i="58"/>
  <c r="F52" i="60"/>
  <c r="AG186" i="58"/>
  <c r="AD210" i="58"/>
  <c r="AF209" i="58"/>
  <c r="AB187" i="58"/>
  <c r="AD211" i="58"/>
  <c r="AF210" i="58"/>
  <c r="AG187" i="58"/>
  <c r="AF211" i="58"/>
  <c r="AD212" i="58"/>
  <c r="AF212" i="58"/>
  <c r="AD213" i="58"/>
  <c r="AB188" i="58"/>
  <c r="AF213" i="58"/>
  <c r="AD214" i="58"/>
  <c r="AG188" i="58"/>
  <c r="AD215" i="58"/>
  <c r="AF214" i="58"/>
  <c r="AB189" i="58"/>
  <c r="AG189" i="58"/>
  <c r="AB190" i="58"/>
  <c r="AD216" i="58"/>
  <c r="AF215" i="58"/>
  <c r="AG190" i="58"/>
  <c r="AB191" i="58"/>
  <c r="AD217" i="58"/>
  <c r="AF216" i="58"/>
  <c r="AG191" i="58"/>
  <c r="AB192" i="58"/>
  <c r="AD218" i="58"/>
  <c r="AF217" i="58"/>
  <c r="AG192" i="58"/>
  <c r="AB193" i="58"/>
  <c r="AD219" i="58"/>
  <c r="AF218" i="58"/>
  <c r="AG193" i="58"/>
  <c r="AB194" i="58"/>
  <c r="AD220" i="58"/>
  <c r="AF219" i="58"/>
  <c r="AG194" i="58"/>
  <c r="AB195" i="58"/>
  <c r="AD221" i="58"/>
  <c r="AF220" i="58"/>
  <c r="AG195" i="58"/>
  <c r="AB196" i="58"/>
  <c r="AF221" i="58"/>
  <c r="AD222" i="58"/>
  <c r="AG196" i="58"/>
  <c r="AB197" i="58"/>
  <c r="AD223" i="58"/>
  <c r="AF222" i="58"/>
  <c r="AG197" i="58"/>
  <c r="AD224" i="58"/>
  <c r="AF223" i="58"/>
  <c r="AB198" i="58"/>
  <c r="AH198" i="58"/>
  <c r="G52" i="60"/>
  <c r="AD225" i="58"/>
  <c r="AF224" i="58"/>
  <c r="AG198" i="58"/>
  <c r="AB199" i="58"/>
  <c r="AG199" i="58"/>
  <c r="AB200" i="58"/>
  <c r="AD226" i="58"/>
  <c r="AF225" i="58"/>
  <c r="AG200" i="58"/>
  <c r="AB201" i="58"/>
  <c r="AD227" i="58"/>
  <c r="AF226" i="58"/>
  <c r="AG201" i="58"/>
  <c r="AB202" i="58"/>
  <c r="AD228" i="58"/>
  <c r="AF227" i="58"/>
  <c r="AG202" i="58"/>
  <c r="AB203" i="58"/>
  <c r="AD229" i="58"/>
  <c r="AF228" i="58"/>
  <c r="AG203" i="58"/>
  <c r="AB204" i="58"/>
  <c r="AF229" i="58"/>
  <c r="AD230" i="58"/>
  <c r="AF230" i="58"/>
  <c r="AD231" i="58"/>
  <c r="AG204" i="58"/>
  <c r="AB205" i="58"/>
  <c r="AG205" i="58"/>
  <c r="AB206" i="58"/>
  <c r="AF231" i="58"/>
  <c r="AD232" i="58"/>
  <c r="AD233" i="58"/>
  <c r="AF232" i="58"/>
  <c r="AG206" i="58"/>
  <c r="AB207" i="58"/>
  <c r="AG207" i="58"/>
  <c r="AB208" i="58"/>
  <c r="AD234" i="58"/>
  <c r="AF233" i="58"/>
  <c r="AD235" i="58"/>
  <c r="AF234" i="58"/>
  <c r="AG208" i="58"/>
  <c r="AB209" i="58"/>
  <c r="AG209" i="58"/>
  <c r="AD236" i="58"/>
  <c r="AF235" i="58"/>
  <c r="AB210" i="58"/>
  <c r="AH210" i="58"/>
  <c r="H52" i="60"/>
  <c r="AF236" i="58"/>
  <c r="AD237" i="58"/>
  <c r="AG210" i="58"/>
  <c r="AB211" i="58"/>
  <c r="AD238" i="58"/>
  <c r="AF237" i="58"/>
  <c r="AG211" i="58"/>
  <c r="AB212" i="58"/>
  <c r="AD239" i="58"/>
  <c r="AF238" i="58"/>
  <c r="AF239" i="58"/>
  <c r="AD240" i="58"/>
  <c r="AG212" i="58"/>
  <c r="AB213" i="58"/>
  <c r="AD241" i="58"/>
  <c r="AF240" i="58"/>
  <c r="AD242" i="58"/>
  <c r="AF241" i="58"/>
  <c r="AG213" i="58"/>
  <c r="AB214" i="58"/>
  <c r="AG214" i="58"/>
  <c r="AB215" i="58"/>
  <c r="AD243" i="58"/>
  <c r="AF242" i="58"/>
  <c r="AG215" i="58"/>
  <c r="AB216" i="58"/>
  <c r="AD244" i="58"/>
  <c r="AF243" i="58"/>
  <c r="AG216" i="58"/>
  <c r="AB217" i="58"/>
  <c r="AF244" i="58"/>
  <c r="AD245" i="58"/>
  <c r="AG217" i="58"/>
  <c r="AB218" i="58"/>
  <c r="AF245" i="58"/>
  <c r="AD246" i="58"/>
  <c r="AD247" i="58"/>
  <c r="AF246" i="58"/>
  <c r="AG218" i="58"/>
  <c r="AB219" i="58"/>
  <c r="AG219" i="58"/>
  <c r="AB220" i="58"/>
  <c r="AD248" i="58"/>
  <c r="AF247" i="58"/>
  <c r="AG220" i="58"/>
  <c r="AB221" i="58"/>
  <c r="AD249" i="58"/>
  <c r="AF248" i="58"/>
  <c r="AG221" i="58"/>
  <c r="AD250" i="58"/>
  <c r="AF249" i="58"/>
  <c r="AB222" i="58"/>
  <c r="AH222" i="58"/>
  <c r="I52" i="60"/>
  <c r="AD251" i="58"/>
  <c r="AF250" i="58"/>
  <c r="AG222" i="58"/>
  <c r="AB223" i="58"/>
  <c r="AG223" i="58"/>
  <c r="AD252" i="58"/>
  <c r="AF251" i="58"/>
  <c r="AB224" i="58"/>
  <c r="AG224" i="58"/>
  <c r="AF252" i="58"/>
  <c r="AD253" i="58"/>
  <c r="AB225" i="58"/>
  <c r="AD254" i="58"/>
  <c r="AF253" i="58"/>
  <c r="AG225" i="58"/>
  <c r="AD255" i="58"/>
  <c r="AF254" i="58"/>
  <c r="AD256" i="58"/>
  <c r="AF255" i="58"/>
  <c r="AB226" i="58"/>
  <c r="AG226" i="58"/>
  <c r="AB227" i="58"/>
  <c r="AD257" i="58"/>
  <c r="AF256" i="58"/>
  <c r="AG227" i="58"/>
  <c r="AB228" i="58"/>
  <c r="AD258" i="58"/>
  <c r="AF257" i="58"/>
  <c r="AF258" i="58"/>
  <c r="AD259" i="58"/>
  <c r="AG228" i="58"/>
  <c r="AB229" i="58"/>
  <c r="AG229" i="58"/>
  <c r="AB230" i="58"/>
  <c r="AD260" i="58"/>
  <c r="AF259" i="58"/>
  <c r="AD261" i="58"/>
  <c r="AF260" i="58"/>
  <c r="AG230" i="58"/>
  <c r="AB231" i="58"/>
  <c r="AG231" i="58"/>
  <c r="AB232" i="58"/>
  <c r="AD262" i="58"/>
  <c r="AF261" i="58"/>
  <c r="AD263" i="58"/>
  <c r="AF262" i="58"/>
  <c r="AG232" i="58"/>
  <c r="AB233" i="58"/>
  <c r="AG233" i="58"/>
  <c r="AD264" i="58"/>
  <c r="AF263" i="58"/>
  <c r="AB234" i="58"/>
  <c r="AH234" i="58"/>
  <c r="J52" i="60"/>
  <c r="AD265" i="58"/>
  <c r="AF264" i="58"/>
  <c r="E21" i="89"/>
  <c r="AG234" i="58"/>
  <c r="AB235" i="58"/>
  <c r="AG235" i="58"/>
  <c r="AB236" i="58"/>
  <c r="AF265" i="58"/>
  <c r="AD266" i="58"/>
  <c r="AG236" i="58"/>
  <c r="AF266" i="58"/>
  <c r="AD267" i="58"/>
  <c r="AF267" i="58"/>
  <c r="AD268" i="58"/>
  <c r="AB237" i="58"/>
  <c r="AG237" i="58"/>
  <c r="AB238" i="58"/>
  <c r="AD269" i="58"/>
  <c r="AF268" i="58"/>
  <c r="AD270" i="58"/>
  <c r="AF269" i="58"/>
  <c r="AG238" i="58"/>
  <c r="AB239" i="58"/>
  <c r="AG239" i="58"/>
  <c r="AB240" i="58"/>
  <c r="AD271" i="58"/>
  <c r="AF270" i="58"/>
  <c r="AG240" i="58"/>
  <c r="AB241" i="58"/>
  <c r="AF271" i="58"/>
  <c r="AD272" i="58"/>
  <c r="AG241" i="58"/>
  <c r="AB242" i="58"/>
  <c r="AF272" i="58"/>
  <c r="AD273" i="58"/>
  <c r="AF273" i="58"/>
  <c r="AD274" i="58"/>
  <c r="AG242" i="58"/>
  <c r="AB243" i="58"/>
  <c r="AG243" i="58"/>
  <c r="AB244" i="58"/>
  <c r="AD275" i="58"/>
  <c r="AF274" i="58"/>
  <c r="AG244" i="58"/>
  <c r="AB245" i="58"/>
  <c r="AF275" i="58"/>
  <c r="AD276" i="58"/>
  <c r="AG245" i="58"/>
  <c r="AF276" i="58"/>
  <c r="AD277" i="58"/>
  <c r="AB246" i="58"/>
  <c r="AH246" i="58"/>
  <c r="F21" i="89"/>
  <c r="AF277" i="58"/>
  <c r="AD278" i="58"/>
  <c r="AG246" i="58"/>
  <c r="AB247" i="58"/>
  <c r="AG247" i="58"/>
  <c r="AB248" i="58"/>
  <c r="AD279" i="58"/>
  <c r="AF278" i="58"/>
  <c r="AG248" i="58"/>
  <c r="AF279" i="58"/>
  <c r="AD280" i="58"/>
  <c r="AB249" i="58"/>
  <c r="AD281" i="58"/>
  <c r="AF280" i="58"/>
  <c r="AG249" i="58"/>
  <c r="AB250" i="58"/>
  <c r="AF281" i="58"/>
  <c r="AD282" i="58"/>
  <c r="AG250" i="58"/>
  <c r="AB251" i="58"/>
  <c r="AF282" i="58"/>
  <c r="AD283" i="58"/>
  <c r="AG251" i="58"/>
  <c r="AB252" i="58"/>
  <c r="AF283" i="58"/>
  <c r="AD284" i="58"/>
  <c r="AG252" i="58"/>
  <c r="AB253" i="58"/>
  <c r="AD285" i="58"/>
  <c r="AF284" i="58"/>
  <c r="AG253" i="58"/>
  <c r="AB254" i="58"/>
  <c r="AF285" i="58"/>
  <c r="AD286" i="58"/>
  <c r="AD287" i="58"/>
  <c r="AF286" i="58"/>
  <c r="AG254" i="58"/>
  <c r="AB255" i="58"/>
  <c r="AG255" i="58"/>
  <c r="AB256" i="58"/>
  <c r="AF287" i="58"/>
  <c r="AD288" i="58"/>
  <c r="AG256" i="58"/>
  <c r="AB257" i="58"/>
  <c r="AD289" i="58"/>
  <c r="AF288" i="58"/>
  <c r="AG257" i="58"/>
  <c r="AD290" i="58"/>
  <c r="AF289" i="58"/>
  <c r="AB258" i="58"/>
  <c r="AH258" i="58"/>
  <c r="G21" i="89"/>
  <c r="AD291" i="58"/>
  <c r="AF290" i="58"/>
  <c r="AG258" i="58"/>
  <c r="AB259" i="58"/>
  <c r="AD292" i="58"/>
  <c r="AF291" i="58"/>
  <c r="AD293" i="58"/>
  <c r="AF292" i="58"/>
  <c r="AG259" i="58"/>
  <c r="AB260" i="58"/>
  <c r="AG260" i="58"/>
  <c r="AB261" i="58"/>
  <c r="AF293" i="58"/>
  <c r="AD294" i="58"/>
  <c r="AG261" i="58"/>
  <c r="AD295" i="58"/>
  <c r="AF294" i="58"/>
  <c r="AD296" i="58"/>
  <c r="AF295" i="58"/>
  <c r="AB262" i="58"/>
  <c r="AG262" i="58"/>
  <c r="AB263" i="58"/>
  <c r="AD297" i="58"/>
  <c r="AF296" i="58"/>
  <c r="AD298" i="58"/>
  <c r="AF297" i="58"/>
  <c r="AG263" i="58"/>
  <c r="AB264" i="58"/>
  <c r="AG264" i="58"/>
  <c r="AB265" i="58"/>
  <c r="AD299" i="58"/>
  <c r="AF298" i="58"/>
  <c r="AG265" i="58"/>
  <c r="AB266" i="58"/>
  <c r="AF299" i="58"/>
  <c r="AD300" i="58"/>
  <c r="AF300" i="58"/>
  <c r="AD301" i="58"/>
  <c r="AG266" i="58"/>
  <c r="AB267" i="58"/>
  <c r="AG267" i="58"/>
  <c r="AB268" i="58"/>
  <c r="AF301" i="58"/>
  <c r="AD302" i="58"/>
  <c r="AD303" i="58"/>
  <c r="AF302" i="58"/>
  <c r="AG268" i="58"/>
  <c r="AB269" i="58"/>
  <c r="AG269" i="58"/>
  <c r="AF303" i="58"/>
  <c r="AD304" i="58"/>
  <c r="AB270" i="58"/>
  <c r="AH270" i="58"/>
  <c r="H21" i="89"/>
  <c r="AF304" i="58"/>
  <c r="AD305" i="58"/>
  <c r="AG270" i="58"/>
  <c r="AB271" i="58"/>
  <c r="AD306" i="58"/>
  <c r="AF305" i="58"/>
  <c r="AF306" i="58"/>
  <c r="AD307" i="58"/>
  <c r="AG271" i="58"/>
  <c r="AB272" i="58"/>
  <c r="AF307" i="58"/>
  <c r="AD308" i="58"/>
  <c r="AD309" i="58"/>
  <c r="AF308" i="58"/>
  <c r="AG272" i="58"/>
  <c r="AB273" i="58"/>
  <c r="AF309" i="58"/>
  <c r="AD310" i="58"/>
  <c r="AF310" i="58"/>
  <c r="AD311" i="58"/>
  <c r="AG273" i="58"/>
  <c r="AB274" i="58"/>
  <c r="AG274" i="58"/>
  <c r="AB275" i="58"/>
  <c r="AF311" i="58"/>
  <c r="AD312" i="58"/>
  <c r="AD313" i="58"/>
  <c r="AF312" i="58"/>
  <c r="AG275" i="58"/>
  <c r="AB276" i="58"/>
  <c r="AG276" i="58"/>
  <c r="AB277" i="58"/>
  <c r="AD314" i="58"/>
  <c r="AF313" i="58"/>
  <c r="AF314" i="58"/>
  <c r="AD315" i="58"/>
  <c r="AG277" i="58"/>
  <c r="AB278" i="58"/>
  <c r="AG278" i="58"/>
  <c r="AB279" i="58"/>
  <c r="AD316" i="58"/>
  <c r="AF315" i="58"/>
  <c r="AG279" i="58"/>
  <c r="AB280" i="58"/>
  <c r="AD317" i="58"/>
  <c r="AF316" i="58"/>
  <c r="AG280" i="58"/>
  <c r="AB281" i="58"/>
  <c r="AD318" i="58"/>
  <c r="AF317" i="58"/>
  <c r="AG281" i="58"/>
  <c r="AD319" i="58"/>
  <c r="AF318" i="58"/>
  <c r="AB282" i="58"/>
  <c r="AH282" i="58"/>
  <c r="I21" i="89"/>
  <c r="AD320" i="58"/>
  <c r="AF319" i="58"/>
  <c r="AG282" i="58"/>
  <c r="AB283" i="58"/>
  <c r="AG283" i="58"/>
  <c r="AB284" i="58"/>
  <c r="AF320" i="58"/>
  <c r="AD321" i="58"/>
  <c r="AG284" i="58"/>
  <c r="AD322" i="58"/>
  <c r="AF321" i="58"/>
  <c r="AD323" i="58"/>
  <c r="AF322" i="58"/>
  <c r="AB285" i="58"/>
  <c r="AG285" i="58"/>
  <c r="AD324" i="58"/>
  <c r="AF323" i="58"/>
  <c r="AD325" i="58"/>
  <c r="AF324" i="58"/>
  <c r="AB286" i="58"/>
  <c r="AG286" i="58"/>
  <c r="AB287" i="58"/>
  <c r="AD326" i="58"/>
  <c r="AF325" i="58"/>
  <c r="AG287" i="58"/>
  <c r="AB288" i="58"/>
  <c r="AD327" i="58"/>
  <c r="AF326" i="58"/>
  <c r="AF327" i="58"/>
  <c r="AD328" i="58"/>
  <c r="AG288" i="58"/>
  <c r="AB289" i="58"/>
  <c r="AG289" i="58"/>
  <c r="AB290" i="58"/>
  <c r="AF328" i="58"/>
  <c r="AD329" i="58"/>
  <c r="AG290" i="58"/>
  <c r="AB291" i="58"/>
  <c r="AD330" i="58"/>
  <c r="AF329" i="58"/>
  <c r="AG291" i="58"/>
  <c r="AB292" i="58"/>
  <c r="AD331" i="58"/>
  <c r="AF330" i="58"/>
  <c r="AD332" i="58"/>
  <c r="AF331" i="58"/>
  <c r="AG292" i="58"/>
  <c r="AB293" i="58"/>
  <c r="AG293" i="58"/>
  <c r="AD333" i="58"/>
  <c r="AF332" i="58"/>
  <c r="AF333" i="58"/>
  <c r="AD334" i="58"/>
  <c r="AB294" i="58"/>
  <c r="AH294" i="58"/>
  <c r="J21" i="89"/>
  <c r="AG294" i="58"/>
  <c r="AD335" i="58"/>
  <c r="AF334" i="58"/>
  <c r="AD336" i="58"/>
  <c r="AF335" i="58"/>
  <c r="AB295" i="58"/>
  <c r="AG295" i="58"/>
  <c r="AD337" i="58"/>
  <c r="AF336" i="58"/>
  <c r="AD338" i="58"/>
  <c r="AF337" i="58"/>
  <c r="AB296" i="58"/>
  <c r="AG296" i="58"/>
  <c r="AF338" i="58"/>
  <c r="AD339" i="58"/>
  <c r="AD340" i="58"/>
  <c r="AF339" i="58"/>
  <c r="AB297" i="58"/>
  <c r="AG297" i="58"/>
  <c r="AB298" i="58"/>
  <c r="AD341" i="58"/>
  <c r="AF340" i="58"/>
  <c r="AD342" i="58"/>
  <c r="AF341" i="58"/>
  <c r="AG298" i="58"/>
  <c r="AB299" i="58"/>
  <c r="AG299" i="58"/>
  <c r="AB300" i="58"/>
  <c r="AD343" i="58"/>
  <c r="AF342" i="58"/>
  <c r="AG300" i="58"/>
  <c r="AB301" i="58"/>
  <c r="AD344" i="58"/>
  <c r="AF343" i="58"/>
  <c r="AG301" i="58"/>
  <c r="AB302" i="58"/>
  <c r="AF344" i="58"/>
  <c r="AD345" i="58"/>
  <c r="AD346" i="58"/>
  <c r="AF345" i="58"/>
  <c r="AG302" i="58"/>
  <c r="AB303" i="58"/>
  <c r="AG303" i="58"/>
  <c r="AB304" i="58"/>
  <c r="AD347" i="58"/>
  <c r="AF346" i="58"/>
  <c r="AF347" i="58"/>
  <c r="AD348" i="58"/>
  <c r="AG304" i="58"/>
  <c r="AB305" i="58"/>
  <c r="AG305" i="58"/>
  <c r="AD349" i="58"/>
  <c r="AF348" i="58"/>
  <c r="AB306" i="58"/>
  <c r="AH306" i="58"/>
  <c r="K21" i="89"/>
  <c r="AD350" i="58"/>
  <c r="AF349" i="58"/>
  <c r="AG306" i="58"/>
  <c r="AB307" i="58"/>
  <c r="AG307" i="58"/>
  <c r="AB308" i="58"/>
  <c r="AD351" i="58"/>
  <c r="AF350" i="58"/>
  <c r="AD352" i="58"/>
  <c r="AF351" i="58"/>
  <c r="AG308" i="58"/>
  <c r="AB309" i="58"/>
  <c r="AG309" i="58"/>
  <c r="AB310" i="58"/>
  <c r="AF352" i="58"/>
  <c r="AD353" i="58"/>
  <c r="AG310" i="58"/>
  <c r="AF353" i="58"/>
  <c r="AD354" i="58"/>
  <c r="AD355" i="58"/>
  <c r="AF354" i="58"/>
  <c r="AB311" i="58"/>
  <c r="AG311" i="58"/>
  <c r="AB312" i="58"/>
  <c r="AD356" i="58"/>
  <c r="AF355" i="58"/>
  <c r="AD357" i="58"/>
  <c r="AF356" i="58"/>
  <c r="AG312" i="58"/>
  <c r="AB313" i="58"/>
  <c r="AG313" i="58"/>
  <c r="AB314" i="58"/>
  <c r="AD358" i="58"/>
  <c r="AF357" i="58"/>
  <c r="AF358" i="58"/>
  <c r="AD359" i="58"/>
  <c r="AG314" i="58"/>
  <c r="AB315" i="58"/>
  <c r="AG315" i="58"/>
  <c r="AB316" i="58"/>
  <c r="AD360" i="58"/>
  <c r="AF359" i="58"/>
  <c r="AD361" i="58"/>
  <c r="AF360" i="58"/>
  <c r="AG316" i="58"/>
  <c r="AB317" i="58"/>
  <c r="AG317" i="58"/>
  <c r="AF361" i="58"/>
  <c r="AD362" i="58"/>
  <c r="AD363" i="58"/>
  <c r="AF362" i="58"/>
  <c r="AB318" i="58"/>
  <c r="AH318" i="58"/>
  <c r="L21" i="89"/>
  <c r="AG318" i="58"/>
  <c r="AD364" i="58"/>
  <c r="AF363" i="58"/>
  <c r="AD365" i="58"/>
  <c r="AF364" i="58"/>
  <c r="AB319" i="58"/>
  <c r="AG319" i="58"/>
  <c r="AB320" i="58"/>
  <c r="AD366" i="58"/>
  <c r="AF365" i="58"/>
  <c r="AF366" i="58"/>
  <c r="AD367" i="58"/>
  <c r="AG320" i="58"/>
  <c r="AB321" i="58"/>
  <c r="AG321" i="58"/>
  <c r="AB322" i="58"/>
  <c r="AF367" i="58"/>
  <c r="AD368" i="58"/>
  <c r="AG322" i="58"/>
  <c r="AB323" i="58"/>
  <c r="AD369" i="58"/>
  <c r="AF368" i="58"/>
  <c r="AG323" i="58"/>
  <c r="AB324" i="58"/>
  <c r="AD370" i="58"/>
  <c r="AF369" i="58"/>
  <c r="AG324" i="58"/>
  <c r="AB325" i="58"/>
  <c r="AF370" i="58"/>
  <c r="AD371" i="58"/>
  <c r="AG325" i="58"/>
  <c r="AB326" i="58"/>
  <c r="AD372" i="58"/>
  <c r="AF371" i="58"/>
  <c r="AD373" i="58"/>
  <c r="AF372" i="58"/>
  <c r="AG326" i="58"/>
  <c r="AB327" i="58"/>
  <c r="AG327" i="58"/>
  <c r="AB328" i="58"/>
  <c r="AD374" i="58"/>
  <c r="AF373" i="58"/>
  <c r="AG328" i="58"/>
  <c r="AB329" i="58"/>
  <c r="AD375" i="58"/>
  <c r="AF374" i="58"/>
  <c r="AG329" i="58"/>
  <c r="AD376" i="58"/>
  <c r="AF375" i="58"/>
  <c r="AB330" i="58"/>
  <c r="AH330" i="58"/>
  <c r="E47" i="89"/>
  <c r="AD377" i="58"/>
  <c r="AF376" i="58"/>
  <c r="AG330" i="58"/>
  <c r="AB331" i="58"/>
  <c r="AF377" i="58"/>
  <c r="AD378" i="58"/>
  <c r="AG331" i="58"/>
  <c r="AB332" i="58"/>
  <c r="AD379" i="58"/>
  <c r="AF378" i="58"/>
  <c r="AD380" i="58"/>
  <c r="AF379" i="58"/>
  <c r="AG332" i="58"/>
  <c r="AB333" i="58"/>
  <c r="AD381" i="58"/>
  <c r="AF380" i="58"/>
  <c r="AD382" i="58"/>
  <c r="AF381" i="58"/>
  <c r="AG333" i="58"/>
  <c r="AB334" i="58"/>
  <c r="AG334" i="58"/>
  <c r="AB335" i="58"/>
  <c r="AD383" i="58"/>
  <c r="AF382" i="58"/>
  <c r="AG335" i="58"/>
  <c r="AB336" i="58"/>
  <c r="AF383" i="58"/>
  <c r="AD384" i="58"/>
  <c r="AF384" i="58"/>
  <c r="AD385" i="58"/>
  <c r="AG336" i="58"/>
  <c r="AB337" i="58"/>
  <c r="AG337" i="58"/>
  <c r="AB338" i="58"/>
  <c r="AF385" i="58"/>
  <c r="AD386" i="58"/>
  <c r="AG338" i="58"/>
  <c r="AB339" i="58"/>
  <c r="AD387" i="58"/>
  <c r="AF386" i="58"/>
  <c r="AG339" i="58"/>
  <c r="AB340" i="58"/>
  <c r="AF387" i="58"/>
  <c r="AD388" i="58"/>
  <c r="AF388" i="58"/>
  <c r="AD389" i="58"/>
  <c r="AG340" i="58"/>
  <c r="AB341" i="58"/>
  <c r="AG341" i="58"/>
  <c r="AD390" i="58"/>
  <c r="AF389" i="58"/>
  <c r="AB342" i="58"/>
  <c r="AH342" i="58"/>
  <c r="F47" i="89"/>
  <c r="AF390" i="58"/>
  <c r="AD391" i="58"/>
  <c r="AG342" i="58"/>
  <c r="AB343" i="58"/>
  <c r="AG343" i="58"/>
  <c r="AF391" i="58"/>
  <c r="AD392" i="58"/>
  <c r="AB344" i="58"/>
  <c r="AD393" i="58"/>
  <c r="AF392" i="58"/>
  <c r="AF393" i="58"/>
  <c r="AD394" i="58"/>
  <c r="AG344" i="58"/>
  <c r="AB345" i="58"/>
  <c r="AF394" i="58"/>
  <c r="AD395" i="58"/>
  <c r="AF395" i="58"/>
  <c r="AD396" i="58"/>
  <c r="AG345" i="58"/>
  <c r="AB346" i="58"/>
  <c r="AG346" i="58"/>
  <c r="AB347" i="58"/>
  <c r="AD397" i="58"/>
  <c r="AF396" i="58"/>
  <c r="AG347" i="58"/>
  <c r="AB348" i="58"/>
  <c r="AF397" i="58"/>
  <c r="AD398" i="58"/>
  <c r="AG348" i="58"/>
  <c r="AB349" i="58"/>
  <c r="AD399" i="58"/>
  <c r="AF398" i="58"/>
  <c r="AG349" i="58"/>
  <c r="AB350" i="58"/>
  <c r="AF399" i="58"/>
  <c r="AD400" i="58"/>
  <c r="AD401" i="58"/>
  <c r="AF400" i="58"/>
  <c r="AG350" i="58"/>
  <c r="AB351" i="58"/>
  <c r="AG351" i="58"/>
  <c r="AB352" i="58"/>
  <c r="AF401" i="58"/>
  <c r="AD402" i="58"/>
  <c r="AG352" i="58"/>
  <c r="AB353" i="58"/>
  <c r="AD403" i="58"/>
  <c r="AF402" i="58"/>
  <c r="AG353" i="58"/>
  <c r="AF403" i="58"/>
  <c r="AD404" i="58"/>
  <c r="AB354" i="58"/>
  <c r="AH354" i="58"/>
  <c r="G47" i="89"/>
  <c r="AD405" i="58"/>
  <c r="AF404" i="58"/>
  <c r="AG354" i="58"/>
  <c r="AB355" i="58"/>
  <c r="AG355" i="58"/>
  <c r="AB356" i="58"/>
  <c r="AF405" i="58"/>
  <c r="AD406" i="58"/>
  <c r="AG356" i="58"/>
  <c r="AD407" i="58"/>
  <c r="AF406" i="58"/>
  <c r="AD408" i="58"/>
  <c r="AF407" i="58"/>
  <c r="AB357" i="58"/>
  <c r="AG357" i="58"/>
  <c r="AD409" i="58"/>
  <c r="AF408" i="58"/>
  <c r="AD410" i="58"/>
  <c r="AF409" i="58"/>
  <c r="AB358" i="58"/>
  <c r="AG358" i="58"/>
  <c r="AB359" i="58"/>
  <c r="AD411" i="58"/>
  <c r="AF410" i="58"/>
  <c r="AG359" i="58"/>
  <c r="AB360" i="58"/>
  <c r="AF411" i="58"/>
  <c r="AD412" i="58"/>
  <c r="AG360" i="58"/>
  <c r="AB361" i="58"/>
  <c r="AF412" i="58"/>
  <c r="AD413" i="58"/>
  <c r="AG361" i="58"/>
  <c r="AB362" i="58"/>
  <c r="AD414" i="58"/>
  <c r="AF413" i="58"/>
  <c r="AG362" i="58"/>
  <c r="AB363" i="58"/>
  <c r="AD415" i="58"/>
  <c r="AF414" i="58"/>
  <c r="AG363" i="58"/>
  <c r="AB364" i="58"/>
  <c r="AD416" i="58"/>
  <c r="AF415" i="58"/>
  <c r="AD417" i="58"/>
  <c r="AF416" i="58"/>
  <c r="AG364" i="58"/>
  <c r="AB365" i="58"/>
  <c r="AG365" i="58"/>
  <c r="AF417" i="58"/>
  <c r="AD418" i="58"/>
  <c r="AF418" i="58"/>
  <c r="AD419" i="58"/>
  <c r="AB366" i="58"/>
  <c r="AH366" i="58"/>
  <c r="H47" i="89"/>
  <c r="AG366" i="58"/>
  <c r="AB367" i="58"/>
  <c r="AF419" i="58"/>
  <c r="AD420" i="58"/>
  <c r="AG367" i="58"/>
  <c r="AB368" i="58"/>
  <c r="AD421" i="58"/>
  <c r="AF420" i="58"/>
  <c r="AF421" i="58"/>
  <c r="AD422" i="58"/>
  <c r="AG368" i="58"/>
  <c r="AF422" i="58"/>
  <c r="AD423" i="58"/>
  <c r="AB369" i="58"/>
  <c r="AG369" i="58"/>
  <c r="AF423" i="58"/>
  <c r="AD424" i="58"/>
  <c r="AD425" i="58"/>
  <c r="AF424" i="58"/>
  <c r="AB370" i="58"/>
  <c r="AG370" i="58"/>
  <c r="AB371" i="58"/>
  <c r="AD426" i="58"/>
  <c r="AF425" i="58"/>
  <c r="AG371" i="58"/>
  <c r="AB372" i="58"/>
  <c r="AD427" i="58"/>
  <c r="AF426" i="58"/>
  <c r="AG372" i="58"/>
  <c r="AB373" i="58"/>
  <c r="AF427" i="58"/>
  <c r="AD428" i="58"/>
  <c r="AF428" i="58"/>
  <c r="AD429" i="58"/>
  <c r="AG373" i="58"/>
  <c r="AB374" i="58"/>
  <c r="AG374" i="58"/>
  <c r="AB375" i="58"/>
  <c r="AF429" i="58"/>
  <c r="AD430" i="58"/>
  <c r="AG375" i="58"/>
  <c r="AB376" i="58"/>
  <c r="AD431" i="58"/>
  <c r="AF430" i="58"/>
  <c r="AD432" i="58"/>
  <c r="AF431" i="58"/>
  <c r="AG376" i="58"/>
  <c r="AB377" i="58"/>
  <c r="AG377" i="58"/>
  <c r="AF432" i="58"/>
  <c r="AD433" i="58"/>
  <c r="AD434" i="58"/>
  <c r="AF433" i="58"/>
  <c r="AB378" i="58"/>
  <c r="AH378" i="58"/>
  <c r="I47" i="89"/>
  <c r="AG378" i="58"/>
  <c r="AD435" i="58"/>
  <c r="AF434" i="58"/>
  <c r="AD436" i="58"/>
  <c r="AF435" i="58"/>
  <c r="AB379" i="58"/>
  <c r="AG379" i="58"/>
  <c r="AD437" i="58"/>
  <c r="AF436" i="58"/>
  <c r="AD438" i="58"/>
  <c r="AF437" i="58"/>
  <c r="AB380" i="58"/>
  <c r="AG380" i="58"/>
  <c r="AF438" i="58"/>
  <c r="AD439" i="58"/>
  <c r="AD440" i="58"/>
  <c r="AF439" i="58"/>
  <c r="AB381" i="58"/>
  <c r="AG381" i="58"/>
  <c r="AB382" i="58"/>
  <c r="AD441" i="58"/>
  <c r="AF440" i="58"/>
  <c r="AD442" i="58"/>
  <c r="AF441" i="58"/>
  <c r="AG382" i="58"/>
  <c r="AB383" i="58"/>
  <c r="AG383" i="58"/>
  <c r="AB384" i="58"/>
  <c r="AD443" i="58"/>
  <c r="AF442" i="58"/>
  <c r="AD444" i="58"/>
  <c r="AF443" i="58"/>
  <c r="AG384" i="58"/>
  <c r="AB385" i="58"/>
  <c r="AG385" i="58"/>
  <c r="AB386" i="58"/>
  <c r="AD445" i="58"/>
  <c r="AF444" i="58"/>
  <c r="AF445" i="58"/>
  <c r="AD446" i="58"/>
  <c r="AG386" i="58"/>
  <c r="AB387" i="58"/>
  <c r="AG387" i="58"/>
  <c r="AB388" i="58"/>
  <c r="AF446" i="58"/>
  <c r="AD447" i="58"/>
  <c r="AG388" i="58"/>
  <c r="AB389" i="58"/>
  <c r="AF447" i="58"/>
  <c r="AD448" i="58"/>
  <c r="AG389" i="58"/>
  <c r="AD449" i="58"/>
  <c r="AF448" i="58"/>
  <c r="AB390" i="58"/>
  <c r="AH390" i="58"/>
  <c r="J47" i="89"/>
  <c r="AD450" i="58"/>
  <c r="AF449" i="58"/>
  <c r="AG390" i="58"/>
  <c r="AB391" i="58"/>
  <c r="AD451" i="58"/>
  <c r="AF450" i="58"/>
  <c r="AG391" i="58"/>
  <c r="AB392" i="58"/>
  <c r="AF451" i="58"/>
  <c r="AD452" i="58"/>
  <c r="AF452" i="58"/>
  <c r="AD453" i="58"/>
  <c r="AG392" i="58"/>
  <c r="AB393" i="58"/>
  <c r="AG393" i="58"/>
  <c r="AB394" i="58"/>
  <c r="AF453" i="58"/>
  <c r="AD454" i="58"/>
  <c r="AG394" i="58"/>
  <c r="AB395" i="58"/>
  <c r="AD455" i="58"/>
  <c r="AF454" i="58"/>
  <c r="AG395" i="58"/>
  <c r="AB396" i="58"/>
  <c r="AF455" i="58"/>
  <c r="AD456" i="58"/>
  <c r="AF456" i="58"/>
  <c r="AD457" i="58"/>
  <c r="AG396" i="58"/>
  <c r="AB397" i="58"/>
  <c r="AG397" i="58"/>
  <c r="AB398" i="58"/>
  <c r="AF457" i="58"/>
  <c r="AD458" i="58"/>
  <c r="AG398" i="58"/>
  <c r="AB399" i="58"/>
  <c r="AD459" i="58"/>
  <c r="AF458" i="58"/>
  <c r="AG399" i="58"/>
  <c r="AB400" i="58"/>
  <c r="AF459" i="58"/>
  <c r="AD460" i="58"/>
  <c r="AD461" i="58"/>
  <c r="AF460" i="58"/>
  <c r="AG400" i="58"/>
  <c r="AB401" i="58"/>
  <c r="AG401" i="58"/>
  <c r="AF461" i="58"/>
  <c r="AD462" i="58"/>
  <c r="AB402" i="58"/>
  <c r="AH402" i="58"/>
  <c r="K47" i="89"/>
  <c r="AF462" i="58"/>
  <c r="AD463" i="58"/>
  <c r="AG402" i="58"/>
  <c r="AB403" i="58"/>
  <c r="AG403" i="58"/>
  <c r="AB404" i="58"/>
  <c r="AF463" i="58"/>
  <c r="AD464" i="58"/>
  <c r="AG404" i="58"/>
  <c r="AF464" i="58"/>
  <c r="AD465" i="58"/>
  <c r="AD466" i="58"/>
  <c r="AF465" i="58"/>
  <c r="AB405" i="58"/>
  <c r="AG405" i="58"/>
  <c r="AB406" i="58"/>
  <c r="AD467" i="58"/>
  <c r="AF466" i="58"/>
  <c r="AF467" i="58"/>
  <c r="AD468" i="58"/>
  <c r="AG406" i="58"/>
  <c r="AB407" i="58"/>
  <c r="AG407" i="58"/>
  <c r="AB408" i="58"/>
  <c r="AD469" i="58"/>
  <c r="AF468" i="58"/>
  <c r="AG408" i="58"/>
  <c r="AB409" i="58"/>
  <c r="AD470" i="58"/>
  <c r="AF469" i="58"/>
  <c r="AG409" i="58"/>
  <c r="AB410" i="58"/>
  <c r="AD471" i="58"/>
  <c r="AF470" i="58"/>
  <c r="AF471" i="58"/>
  <c r="AD472" i="58"/>
  <c r="AG410" i="58"/>
  <c r="AB411" i="58"/>
  <c r="AG411" i="58"/>
  <c r="AB412" i="58"/>
  <c r="AF472" i="58"/>
  <c r="AD473" i="58"/>
  <c r="AG412" i="58"/>
  <c r="AB413" i="58"/>
  <c r="AF473" i="58"/>
  <c r="AD474" i="58"/>
  <c r="AG413" i="58"/>
  <c r="AB414" i="58"/>
  <c r="AH414" i="58"/>
  <c r="L47" i="89"/>
  <c r="AD475" i="58"/>
  <c r="AF474" i="58"/>
  <c r="AD476" i="58"/>
  <c r="AF475" i="58"/>
  <c r="AG414" i="58"/>
  <c r="AB415" i="58"/>
  <c r="AG415" i="58"/>
  <c r="AB416" i="58"/>
  <c r="AD477" i="58"/>
  <c r="AF476" i="58"/>
  <c r="AF477" i="58"/>
  <c r="AD478" i="58"/>
  <c r="AG416" i="58"/>
  <c r="AB417" i="58"/>
  <c r="AG417" i="58"/>
  <c r="AB418" i="58"/>
  <c r="AF478" i="58"/>
  <c r="AD479" i="58"/>
  <c r="AG418" i="58"/>
  <c r="AB419" i="58"/>
  <c r="AD480" i="58"/>
  <c r="AF479" i="58"/>
  <c r="AG419" i="58"/>
  <c r="AB420" i="58"/>
  <c r="AD481" i="58"/>
  <c r="AF480" i="58"/>
  <c r="AF481" i="58"/>
  <c r="AD482" i="58"/>
  <c r="AG420" i="58"/>
  <c r="AB421" i="58"/>
  <c r="AG421" i="58"/>
  <c r="AB422" i="58"/>
  <c r="AF482" i="58"/>
  <c r="AD483" i="58"/>
  <c r="AF483" i="58"/>
  <c r="AD484" i="58"/>
  <c r="AG422" i="58"/>
  <c r="AB423" i="58"/>
  <c r="AG423" i="58"/>
  <c r="AB424" i="58"/>
  <c r="AD485" i="58"/>
  <c r="AF484" i="58"/>
  <c r="AD486" i="58"/>
  <c r="AF485" i="58"/>
  <c r="AG424" i="58"/>
  <c r="AB425" i="58"/>
  <c r="AG425" i="58"/>
  <c r="AD487" i="58"/>
  <c r="AF486" i="58"/>
  <c r="AB426" i="58"/>
  <c r="AG426" i="58"/>
  <c r="AF487" i="58"/>
  <c r="AD488" i="58"/>
  <c r="AF488" i="58"/>
  <c r="AD489" i="58"/>
  <c r="AB427" i="58"/>
  <c r="AG427" i="58"/>
  <c r="AB428" i="58"/>
  <c r="AF489" i="58"/>
  <c r="AD490" i="58"/>
  <c r="AD491" i="58"/>
  <c r="AF490" i="58"/>
  <c r="AG428" i="58"/>
  <c r="AB429" i="58"/>
  <c r="AF491" i="58"/>
  <c r="AD492" i="58"/>
  <c r="AG429" i="58"/>
  <c r="AB430" i="58"/>
  <c r="AF492" i="58"/>
  <c r="AD493" i="58"/>
  <c r="AF493" i="58"/>
  <c r="AD494" i="58"/>
  <c r="AG430" i="58"/>
  <c r="AB431" i="58"/>
  <c r="AG431" i="58"/>
  <c r="AB432" i="58"/>
  <c r="AD495" i="58"/>
  <c r="AF494" i="58"/>
  <c r="AG432" i="58"/>
  <c r="AB433" i="58"/>
  <c r="AD496" i="58"/>
  <c r="AF495" i="58"/>
  <c r="AG433" i="58"/>
  <c r="AB434" i="58"/>
  <c r="AF496" i="58"/>
  <c r="AD497" i="58"/>
  <c r="AD498" i="58"/>
  <c r="AF497" i="58"/>
  <c r="AG434" i="58"/>
  <c r="AB435" i="58"/>
  <c r="AG435" i="58"/>
  <c r="AB436" i="58"/>
  <c r="AF498" i="58"/>
  <c r="AD499" i="58"/>
  <c r="AG436" i="58"/>
  <c r="AB437" i="58"/>
  <c r="AF499" i="58"/>
  <c r="AD500" i="58"/>
  <c r="AG437" i="58"/>
  <c r="AB438" i="58"/>
  <c r="AD501" i="58"/>
  <c r="AF500" i="58"/>
  <c r="AF501" i="58"/>
  <c r="AD502" i="58"/>
  <c r="AG438" i="58"/>
  <c r="AB439" i="58"/>
  <c r="AG439" i="58"/>
  <c r="AB440" i="58"/>
  <c r="AF502" i="58"/>
  <c r="AD503" i="58"/>
  <c r="AD504" i="58"/>
  <c r="AF503" i="58"/>
  <c r="AG440" i="58"/>
  <c r="AB441" i="58"/>
  <c r="AD505" i="58"/>
  <c r="AF504" i="58"/>
  <c r="AD506" i="58"/>
  <c r="AF505" i="58"/>
  <c r="AG441" i="58"/>
  <c r="AB442" i="58"/>
  <c r="AD507" i="58"/>
  <c r="AF506" i="58"/>
  <c r="AD508" i="58"/>
  <c r="AF507" i="58"/>
  <c r="AG442" i="58"/>
  <c r="AB443" i="58"/>
  <c r="AG443" i="58"/>
  <c r="AB444" i="58"/>
  <c r="AD509" i="58"/>
  <c r="AF508" i="58"/>
  <c r="AF509" i="58"/>
  <c r="AD510" i="58"/>
  <c r="AG444" i="58"/>
  <c r="AB445" i="58"/>
  <c r="AG445" i="58"/>
  <c r="AB446" i="58"/>
  <c r="AD511" i="58"/>
  <c r="AF510" i="58"/>
  <c r="AG446" i="58"/>
  <c r="AB447" i="58"/>
  <c r="AD512" i="58"/>
  <c r="AF511" i="58"/>
  <c r="AG447" i="58"/>
  <c r="AB448" i="58"/>
  <c r="AD513" i="58"/>
  <c r="AF512" i="58"/>
  <c r="AD514" i="58"/>
  <c r="AF513" i="58"/>
  <c r="AG448" i="58"/>
  <c r="AB449" i="58"/>
  <c r="AG449" i="58"/>
  <c r="AD515" i="58"/>
  <c r="AF514" i="58"/>
  <c r="AB450" i="58"/>
  <c r="AG450" i="58"/>
  <c r="AB451" i="58"/>
  <c r="AF515" i="58"/>
  <c r="AD516" i="58"/>
  <c r="AG451" i="58"/>
  <c r="AB452" i="58"/>
  <c r="AF516" i="58"/>
  <c r="AD517" i="58"/>
  <c r="AG452" i="58"/>
  <c r="AB453" i="58"/>
  <c r="AF517" i="58"/>
  <c r="AD518" i="58"/>
  <c r="AG453" i="58"/>
  <c r="AB454" i="58"/>
  <c r="AD519" i="58"/>
  <c r="AF518" i="58"/>
  <c r="AF519" i="58"/>
  <c r="AD520" i="58"/>
  <c r="AG454" i="58"/>
  <c r="AB455" i="58"/>
  <c r="AG455" i="58"/>
  <c r="AB456" i="58"/>
  <c r="AF520" i="58"/>
  <c r="AD521" i="58"/>
  <c r="AG456" i="58"/>
  <c r="AB457" i="58"/>
  <c r="AD522" i="58"/>
  <c r="AF521" i="58"/>
  <c r="AG457" i="58"/>
  <c r="AB458" i="58"/>
  <c r="AF522" i="58"/>
  <c r="AD523" i="58"/>
  <c r="AF523" i="58"/>
  <c r="AD524" i="58"/>
  <c r="AG458" i="58"/>
  <c r="AB459" i="58"/>
  <c r="AG459" i="58"/>
  <c r="AB460" i="58"/>
  <c r="AD525" i="58"/>
  <c r="AF524" i="58"/>
  <c r="AG460" i="58"/>
  <c r="AB461" i="58"/>
  <c r="AF525" i="58"/>
  <c r="AD526" i="58"/>
  <c r="AG461" i="58"/>
  <c r="AF526" i="58"/>
  <c r="AD527" i="58"/>
  <c r="AB462" i="58"/>
  <c r="AG462" i="58"/>
  <c r="AB463" i="58"/>
  <c r="AF527" i="58"/>
  <c r="AD528" i="58"/>
  <c r="AG463" i="58"/>
  <c r="AB464" i="58"/>
  <c r="AD529" i="58"/>
  <c r="AF528" i="58"/>
  <c r="AF529" i="58"/>
  <c r="AD530" i="58"/>
  <c r="AG464" i="58"/>
  <c r="AB465" i="58"/>
  <c r="AD531" i="58"/>
  <c r="AF530" i="58"/>
  <c r="AF531" i="58"/>
  <c r="AD532" i="58"/>
  <c r="AG465" i="58"/>
  <c r="AB466" i="58"/>
  <c r="AG466" i="58"/>
  <c r="AB467" i="58"/>
  <c r="AD533" i="58"/>
  <c r="AF532" i="58"/>
  <c r="AG467" i="58"/>
  <c r="AB468" i="58"/>
  <c r="AD534" i="58"/>
  <c r="AF533" i="58"/>
  <c r="AG468" i="58"/>
  <c r="AB469" i="58"/>
  <c r="AD535" i="58"/>
  <c r="AF534" i="58"/>
  <c r="AG469" i="58"/>
  <c r="AB470" i="58"/>
  <c r="AF535" i="58"/>
  <c r="AD536" i="58"/>
  <c r="AD537" i="58"/>
  <c r="AF536" i="58"/>
  <c r="AG470" i="58"/>
  <c r="AB471" i="58"/>
  <c r="AG471" i="58"/>
  <c r="AB472" i="58"/>
  <c r="AF537" i="58"/>
  <c r="AD538" i="58"/>
  <c r="AG472" i="58"/>
  <c r="AB473" i="58"/>
  <c r="AD539" i="58"/>
  <c r="AF538" i="58"/>
  <c r="AG473" i="58"/>
  <c r="AD540" i="58"/>
  <c r="AF539" i="58"/>
  <c r="AB474" i="58"/>
  <c r="AG474" i="58"/>
  <c r="AD541" i="58"/>
  <c r="AF540" i="58"/>
  <c r="AB475" i="58"/>
  <c r="AD542" i="58"/>
  <c r="AF541" i="58"/>
  <c r="AG475" i="58"/>
  <c r="AB476" i="58"/>
  <c r="AG476" i="58"/>
  <c r="AB477" i="58"/>
  <c r="AD543" i="58"/>
  <c r="AF542" i="58"/>
  <c r="AG477" i="58"/>
  <c r="AB478" i="58"/>
  <c r="AF543" i="58"/>
  <c r="AD544" i="58"/>
  <c r="AG478" i="58"/>
  <c r="AF544" i="58"/>
  <c r="AD545" i="58"/>
  <c r="AF545" i="58"/>
  <c r="AD546" i="58"/>
  <c r="AF546" i="58"/>
  <c r="AG546" i="58"/>
  <c r="AB479" i="58"/>
  <c r="AG479" i="58"/>
  <c r="AB480" i="58"/>
  <c r="AG480" i="58"/>
  <c r="AB481" i="58"/>
  <c r="AG481" i="58"/>
  <c r="AB482" i="58"/>
  <c r="AG482" i="58"/>
  <c r="AB483" i="58"/>
  <c r="AG483" i="58"/>
  <c r="AB484" i="58"/>
  <c r="AG484" i="58"/>
  <c r="AB485" i="58"/>
  <c r="AG485" i="58"/>
  <c r="AB486" i="58"/>
  <c r="AG486" i="58"/>
  <c r="AB487" i="58"/>
  <c r="AG487" i="58"/>
  <c r="AB488" i="58"/>
  <c r="AG488" i="58"/>
  <c r="AB489" i="58"/>
  <c r="AG489" i="58"/>
  <c r="AB490" i="58"/>
  <c r="AG490" i="58"/>
  <c r="AB491" i="58"/>
  <c r="AG491" i="58"/>
  <c r="AB492" i="58"/>
  <c r="AG492" i="58"/>
  <c r="AB493" i="58"/>
  <c r="AG493" i="58"/>
  <c r="AB494" i="58"/>
  <c r="AG494" i="58"/>
  <c r="AB495" i="58"/>
  <c r="AG495" i="58"/>
  <c r="AB496" i="58"/>
  <c r="AG496" i="58"/>
  <c r="AB497" i="58"/>
  <c r="AG497" i="58"/>
  <c r="AB498" i="58"/>
  <c r="AG498" i="58"/>
  <c r="AB499" i="58"/>
  <c r="AG499" i="58"/>
  <c r="AB500" i="58"/>
  <c r="AG500" i="58"/>
  <c r="AB501" i="58"/>
  <c r="AG501" i="58"/>
  <c r="AB502" i="58"/>
  <c r="AG502" i="58"/>
  <c r="AB503" i="58"/>
  <c r="AG503" i="58"/>
  <c r="AB504" i="58"/>
  <c r="AG504" i="58"/>
  <c r="AB505" i="58"/>
  <c r="AG505" i="58"/>
  <c r="AB506" i="58"/>
  <c r="AG506" i="58"/>
  <c r="AB507" i="58"/>
  <c r="AG507" i="58"/>
  <c r="AB508" i="58"/>
  <c r="AG508" i="58"/>
  <c r="AB509" i="58"/>
  <c r="AG509" i="58"/>
  <c r="AB510" i="58"/>
  <c r="AG510" i="58"/>
  <c r="AB511" i="58"/>
  <c r="AG511" i="58"/>
  <c r="AB512" i="58"/>
  <c r="AG512" i="58"/>
  <c r="AB513" i="58"/>
  <c r="AG513" i="58"/>
  <c r="AB514" i="58"/>
  <c r="AG514" i="58"/>
  <c r="AB515" i="58"/>
  <c r="AG515" i="58"/>
  <c r="AB516" i="58"/>
  <c r="AG516" i="58"/>
  <c r="AB517" i="58"/>
  <c r="AG517" i="58"/>
  <c r="AB518" i="58"/>
  <c r="AG518" i="58"/>
  <c r="AB519" i="58"/>
  <c r="AG519" i="58"/>
  <c r="AB520" i="58"/>
  <c r="AG520" i="58"/>
  <c r="AB521" i="58"/>
  <c r="AG521" i="58"/>
  <c r="AB522" i="58"/>
  <c r="AG522" i="58"/>
  <c r="AB523" i="58"/>
  <c r="AG523" i="58"/>
  <c r="AB524" i="58"/>
  <c r="AG524" i="58"/>
  <c r="AB525" i="58"/>
  <c r="AG525" i="58"/>
  <c r="AB526" i="58"/>
  <c r="AG526" i="58"/>
  <c r="AB527" i="58"/>
  <c r="AG527" i="58"/>
  <c r="AB528" i="58"/>
  <c r="AG528" i="58"/>
  <c r="AB529" i="58"/>
  <c r="AG529" i="58"/>
  <c r="AB530" i="58"/>
  <c r="AG530" i="58"/>
  <c r="AB531" i="58"/>
  <c r="AG531" i="58"/>
  <c r="AB532" i="58"/>
  <c r="AG532" i="58"/>
  <c r="AB533" i="58"/>
  <c r="AG533" i="58"/>
  <c r="AB534" i="58"/>
  <c r="AG534" i="58"/>
  <c r="AB535" i="58"/>
  <c r="AG535" i="58"/>
  <c r="AB536" i="58"/>
  <c r="AG536" i="58"/>
  <c r="AB537" i="58"/>
  <c r="AG537" i="58"/>
  <c r="AB538" i="58"/>
  <c r="AG538" i="58"/>
  <c r="AB539" i="58"/>
  <c r="AG539" i="58"/>
  <c r="AB540" i="58"/>
  <c r="AG540" i="58"/>
  <c r="AB541" i="58"/>
  <c r="AG541" i="58"/>
  <c r="AB542" i="58"/>
  <c r="AG542" i="58"/>
  <c r="AB543" i="58"/>
  <c r="AG543" i="58"/>
  <c r="AB544" i="58"/>
  <c r="AG544" i="58"/>
  <c r="AB545" i="58"/>
  <c r="AG545" i="58"/>
  <c r="I44" i="55"/>
  <c r="E8" i="55"/>
  <c r="V33" i="86"/>
  <c r="G39" i="44"/>
  <c r="G35" i="44"/>
  <c r="G22" i="44"/>
  <c r="A18" i="51"/>
  <c r="L15" i="24"/>
  <c r="AQ43" i="51"/>
  <c r="AQ42" i="51"/>
  <c r="O61" i="24"/>
  <c r="O59" i="24"/>
  <c r="O58" i="24"/>
  <c r="O57" i="24"/>
  <c r="U31" i="42"/>
  <c r="U30" i="42"/>
  <c r="U29" i="42"/>
  <c r="U28" i="42"/>
  <c r="U27" i="42"/>
  <c r="U26" i="42"/>
  <c r="U25" i="42"/>
  <c r="U24" i="42"/>
  <c r="U23" i="42"/>
  <c r="U22" i="42"/>
  <c r="U21" i="42"/>
  <c r="U16" i="42"/>
  <c r="U15" i="42"/>
  <c r="U14" i="42"/>
  <c r="U13" i="42"/>
  <c r="S31" i="42"/>
  <c r="S30" i="42"/>
  <c r="S29" i="42"/>
  <c r="S28" i="42"/>
  <c r="S27" i="42"/>
  <c r="S26" i="42"/>
  <c r="S25" i="42"/>
  <c r="S24" i="42"/>
  <c r="S23" i="42"/>
  <c r="S22" i="42"/>
  <c r="S21" i="42"/>
  <c r="S16" i="42"/>
  <c r="S15" i="42"/>
  <c r="S14" i="42"/>
  <c r="S13" i="42"/>
  <c r="Q31" i="42"/>
  <c r="Q30" i="42"/>
  <c r="Q29" i="42"/>
  <c r="Q28" i="42"/>
  <c r="Q27" i="42"/>
  <c r="Q26" i="42"/>
  <c r="Q25" i="42"/>
  <c r="Q24" i="42"/>
  <c r="Q23" i="42"/>
  <c r="Q22" i="42"/>
  <c r="Q21" i="42"/>
  <c r="Q20" i="42"/>
  <c r="Q19" i="42"/>
  <c r="Q18" i="42"/>
  <c r="Q17" i="42"/>
  <c r="Q16" i="42"/>
  <c r="Q15" i="42"/>
  <c r="Q14" i="42"/>
  <c r="Q13" i="42"/>
  <c r="D34" i="83"/>
  <c r="U39" i="41"/>
  <c r="U37" i="41"/>
  <c r="U36" i="41"/>
  <c r="U34" i="41"/>
  <c r="U33" i="41"/>
  <c r="U32" i="41"/>
  <c r="U31" i="41"/>
  <c r="U30" i="41"/>
  <c r="U29" i="41"/>
  <c r="U28" i="41"/>
  <c r="U27" i="41"/>
  <c r="U12" i="41"/>
  <c r="S39" i="41"/>
  <c r="S37" i="41"/>
  <c r="S36" i="41"/>
  <c r="S34" i="41"/>
  <c r="S33" i="41"/>
  <c r="S32" i="41"/>
  <c r="S31" i="41"/>
  <c r="S30" i="41"/>
  <c r="S29" i="41"/>
  <c r="S28" i="41"/>
  <c r="S27" i="41"/>
  <c r="S26" i="41"/>
  <c r="S25" i="41"/>
  <c r="S24" i="41"/>
  <c r="S23" i="41"/>
  <c r="S22" i="41"/>
  <c r="S21" i="41"/>
  <c r="S20" i="41"/>
  <c r="S18" i="41"/>
  <c r="S17" i="41"/>
  <c r="S16" i="41"/>
  <c r="S15" i="41"/>
  <c r="S14" i="41"/>
  <c r="Q40" i="41"/>
  <c r="Q39" i="41"/>
  <c r="Q38" i="41"/>
  <c r="Q37" i="41"/>
  <c r="Q36" i="41"/>
  <c r="Q35" i="41"/>
  <c r="Q34" i="41"/>
  <c r="Q33" i="41"/>
  <c r="Q32" i="41"/>
  <c r="Q31" i="41"/>
  <c r="Q30" i="41"/>
  <c r="Q29" i="41"/>
  <c r="Q28" i="41"/>
  <c r="Q27" i="41"/>
  <c r="Q26" i="41"/>
  <c r="Q25" i="41"/>
  <c r="Q24" i="41"/>
  <c r="Q23" i="41"/>
  <c r="Q22" i="41"/>
  <c r="Q21" i="41"/>
  <c r="Q20" i="41"/>
  <c r="Q19" i="41"/>
  <c r="Q18" i="41"/>
  <c r="Q17" i="41"/>
  <c r="Q16" i="41"/>
  <c r="Q15" i="41"/>
  <c r="Q14" i="41"/>
  <c r="Q13" i="41"/>
  <c r="Q12" i="41"/>
  <c r="Q11" i="41"/>
  <c r="U42" i="51"/>
  <c r="U40" i="51"/>
  <c r="U39" i="51"/>
  <c r="U38" i="51"/>
  <c r="U37" i="51"/>
  <c r="U36" i="51"/>
  <c r="U35" i="51"/>
  <c r="U34" i="51"/>
  <c r="U33" i="51"/>
  <c r="N9" i="57"/>
  <c r="N10" i="57"/>
  <c r="N11" i="57"/>
  <c r="N12" i="57"/>
  <c r="N13" i="57"/>
  <c r="N14" i="57"/>
  <c r="N15" i="57"/>
  <c r="AN15" i="1"/>
  <c r="R46" i="18"/>
  <c r="N17" i="65"/>
  <c r="F63" i="23"/>
  <c r="F62" i="23"/>
  <c r="C58" i="104"/>
  <c r="C57" i="104"/>
  <c r="C56" i="104"/>
  <c r="C55" i="104"/>
  <c r="C54" i="104"/>
  <c r="C53" i="104"/>
  <c r="C52" i="104"/>
  <c r="C51" i="104"/>
  <c r="C50" i="104"/>
  <c r="C49" i="104"/>
  <c r="C48" i="104"/>
  <c r="C47" i="104"/>
  <c r="C46" i="104"/>
  <c r="C45" i="104"/>
  <c r="C44" i="104"/>
  <c r="C43" i="104"/>
  <c r="C42" i="104"/>
  <c r="C41" i="104"/>
  <c r="C40" i="104"/>
  <c r="C38" i="104"/>
  <c r="C37" i="104"/>
  <c r="C36" i="104"/>
  <c r="C35" i="104"/>
  <c r="C34" i="104"/>
  <c r="C33" i="104"/>
  <c r="C32" i="104"/>
  <c r="C31" i="104"/>
  <c r="C30" i="104"/>
  <c r="C29" i="104"/>
  <c r="C28" i="104"/>
  <c r="C27" i="104"/>
  <c r="C26" i="104"/>
  <c r="C25" i="104"/>
  <c r="C24" i="104"/>
  <c r="C23" i="104"/>
  <c r="C22" i="104"/>
  <c r="C21" i="104"/>
  <c r="C20" i="104"/>
  <c r="C19" i="104"/>
  <c r="C18" i="104"/>
  <c r="C17" i="104"/>
  <c r="C16" i="104"/>
  <c r="C14" i="104"/>
  <c r="C13" i="104"/>
  <c r="C12" i="104"/>
  <c r="C11" i="104"/>
  <c r="C10" i="104"/>
  <c r="C9" i="104"/>
  <c r="T66" i="76"/>
  <c r="T65" i="76"/>
  <c r="T64" i="76"/>
  <c r="T63" i="76"/>
  <c r="T62" i="76"/>
  <c r="T61" i="76"/>
  <c r="T60" i="76"/>
  <c r="E23" i="89"/>
  <c r="E22" i="89"/>
  <c r="E20" i="89"/>
  <c r="E19" i="89"/>
  <c r="D20" i="60"/>
  <c r="C20" i="60"/>
  <c r="C18" i="60"/>
  <c r="C17" i="60"/>
  <c r="B8" i="84"/>
  <c r="D6" i="85"/>
  <c r="B35" i="84"/>
  <c r="B34" i="84"/>
  <c r="B33" i="84"/>
  <c r="B32" i="84"/>
  <c r="B31" i="84"/>
  <c r="B30" i="84"/>
  <c r="B29" i="84"/>
  <c r="B28" i="84"/>
  <c r="B27" i="84"/>
  <c r="B26" i="84"/>
  <c r="B25" i="84"/>
  <c r="B24" i="84"/>
  <c r="B23" i="84"/>
  <c r="B22" i="84"/>
  <c r="B21" i="84"/>
  <c r="A25" i="84"/>
  <c r="A24" i="84"/>
  <c r="A23" i="84"/>
  <c r="A22" i="84"/>
  <c r="A21" i="84"/>
  <c r="I37" i="85"/>
  <c r="G37" i="85"/>
  <c r="L53" i="85"/>
  <c r="L48" i="85"/>
  <c r="AO50" i="69"/>
  <c r="AN50" i="69"/>
  <c r="AM50" i="69"/>
  <c r="AK50" i="69"/>
  <c r="AJ50" i="69"/>
  <c r="AI50" i="69"/>
  <c r="AH50" i="69"/>
  <c r="AG50" i="69"/>
  <c r="AF50" i="69"/>
  <c r="AE50" i="69"/>
  <c r="AD50" i="69"/>
  <c r="AC50" i="69"/>
  <c r="AB50" i="69"/>
  <c r="AA50" i="69"/>
  <c r="AO49" i="69"/>
  <c r="AN49" i="69"/>
  <c r="AK49" i="69"/>
  <c r="AJ49" i="69"/>
  <c r="AI49" i="69"/>
  <c r="AH49" i="69"/>
  <c r="AG49" i="69"/>
  <c r="AF49" i="69"/>
  <c r="AE49" i="69"/>
  <c r="AD49" i="69"/>
  <c r="AC49" i="69"/>
  <c r="AB49" i="69"/>
  <c r="AA49" i="69"/>
  <c r="AO48" i="69"/>
  <c r="AN48" i="69"/>
  <c r="AK48" i="69"/>
  <c r="AJ48" i="69"/>
  <c r="AI48" i="69"/>
  <c r="AH48" i="69"/>
  <c r="AG48" i="69"/>
  <c r="AE48" i="69"/>
  <c r="AD48" i="69"/>
  <c r="AC48" i="69"/>
  <c r="AB48" i="69"/>
  <c r="AB51" i="69"/>
  <c r="AF48" i="69"/>
  <c r="AA48" i="69"/>
  <c r="BS41" i="40"/>
  <c r="BQ41" i="40"/>
  <c r="BO41" i="40"/>
  <c r="BS40" i="40"/>
  <c r="BQ40" i="40"/>
  <c r="BO40" i="40"/>
  <c r="BS39" i="40"/>
  <c r="BQ39" i="40"/>
  <c r="BO39" i="40"/>
  <c r="BS38" i="40"/>
  <c r="BQ38" i="40"/>
  <c r="BO38" i="40"/>
  <c r="BS37" i="40"/>
  <c r="BQ37" i="40"/>
  <c r="BO37" i="40"/>
  <c r="BS36" i="40"/>
  <c r="BQ36" i="40"/>
  <c r="BO36" i="40"/>
  <c r="BS35" i="40"/>
  <c r="BQ35" i="40"/>
  <c r="BO35" i="40"/>
  <c r="BS34" i="40"/>
  <c r="BQ34" i="40"/>
  <c r="BO34" i="40"/>
  <c r="BS33" i="40"/>
  <c r="BQ33" i="40"/>
  <c r="BO33" i="40"/>
  <c r="BS32" i="40"/>
  <c r="BQ32" i="40"/>
  <c r="BO32" i="40"/>
  <c r="BS31" i="40"/>
  <c r="BQ31" i="40"/>
  <c r="BO31" i="40"/>
  <c r="BS30" i="40"/>
  <c r="BQ30" i="40"/>
  <c r="BO30" i="40"/>
  <c r="BS29" i="40"/>
  <c r="BQ29" i="40"/>
  <c r="BO29" i="40"/>
  <c r="BS28" i="40"/>
  <c r="BQ28" i="40"/>
  <c r="BO28" i="40"/>
  <c r="BS27" i="40"/>
  <c r="BQ27" i="40"/>
  <c r="BO27" i="40"/>
  <c r="BS26" i="40"/>
  <c r="BQ26" i="40"/>
  <c r="BO26" i="40"/>
  <c r="BS25" i="40"/>
  <c r="BQ25" i="40"/>
  <c r="BO25" i="40"/>
  <c r="BS24" i="40"/>
  <c r="BQ24" i="40"/>
  <c r="BO24" i="40"/>
  <c r="BS23" i="40"/>
  <c r="BQ23" i="40"/>
  <c r="BO23" i="40"/>
  <c r="BS22" i="40"/>
  <c r="BQ22" i="40"/>
  <c r="BO22" i="40"/>
  <c r="BS21" i="40"/>
  <c r="BQ21" i="40"/>
  <c r="BO21" i="40"/>
  <c r="BS20" i="40"/>
  <c r="BQ20" i="40"/>
  <c r="BO20" i="40"/>
  <c r="BS19" i="40"/>
  <c r="BQ19" i="40"/>
  <c r="BO19" i="40"/>
  <c r="BS18" i="40"/>
  <c r="BQ18" i="40"/>
  <c r="BO18" i="40"/>
  <c r="BS17" i="40"/>
  <c r="BQ17" i="40"/>
  <c r="BO17" i="40"/>
  <c r="BS16" i="40"/>
  <c r="BQ16" i="40"/>
  <c r="BO16" i="40"/>
  <c r="BS15" i="40"/>
  <c r="BQ15" i="40"/>
  <c r="BO15" i="40"/>
  <c r="BS14" i="40"/>
  <c r="BQ14" i="40"/>
  <c r="BO14" i="40"/>
  <c r="BS13" i="40"/>
  <c r="BQ13" i="40"/>
  <c r="BO13" i="40"/>
  <c r="BS12" i="40"/>
  <c r="BQ12" i="40"/>
  <c r="BO12" i="40"/>
  <c r="BS11" i="40"/>
  <c r="BQ11" i="40"/>
  <c r="BO11" i="40"/>
  <c r="BS10" i="40"/>
  <c r="BQ10" i="40"/>
  <c r="BO10" i="40"/>
  <c r="BS9" i="40"/>
  <c r="BQ9" i="40"/>
  <c r="BO9" i="40"/>
  <c r="BS8" i="40"/>
  <c r="BQ8" i="40"/>
  <c r="BO8" i="40"/>
  <c r="BQ7" i="40"/>
  <c r="BN41" i="40"/>
  <c r="BM41" i="40"/>
  <c r="BR41" i="40"/>
  <c r="BL41" i="40"/>
  <c r="BK41" i="40"/>
  <c r="BP41" i="40"/>
  <c r="BJ41" i="40"/>
  <c r="BN40" i="40"/>
  <c r="BM40" i="40"/>
  <c r="BR40" i="40"/>
  <c r="BL40" i="40"/>
  <c r="BK40" i="40"/>
  <c r="BP40" i="40"/>
  <c r="BJ40" i="40"/>
  <c r="BN39" i="40"/>
  <c r="BM39" i="40"/>
  <c r="BR39" i="40"/>
  <c r="BL39" i="40"/>
  <c r="BK39" i="40"/>
  <c r="BP39" i="40"/>
  <c r="BJ39" i="40"/>
  <c r="BN38" i="40"/>
  <c r="BM38" i="40"/>
  <c r="BR38" i="40"/>
  <c r="BL38" i="40"/>
  <c r="BK38" i="40"/>
  <c r="BP38" i="40"/>
  <c r="BJ38" i="40"/>
  <c r="BN37" i="40"/>
  <c r="BM37" i="40"/>
  <c r="BR37" i="40"/>
  <c r="BL37" i="40"/>
  <c r="BK37" i="40"/>
  <c r="BP37" i="40"/>
  <c r="BJ37" i="40"/>
  <c r="BN36" i="40"/>
  <c r="BM36" i="40"/>
  <c r="BR36" i="40"/>
  <c r="BL36" i="40"/>
  <c r="BK36" i="40"/>
  <c r="BP36" i="40"/>
  <c r="BJ36" i="40"/>
  <c r="BN35" i="40"/>
  <c r="BM35" i="40"/>
  <c r="BR35" i="40"/>
  <c r="BL35" i="40"/>
  <c r="BK35" i="40"/>
  <c r="BP35" i="40"/>
  <c r="BJ35" i="40"/>
  <c r="BN34" i="40"/>
  <c r="BM34" i="40"/>
  <c r="BL34" i="40"/>
  <c r="BK34" i="40"/>
  <c r="BJ34" i="40"/>
  <c r="BN33" i="40"/>
  <c r="BM33" i="40"/>
  <c r="BR33" i="40"/>
  <c r="BL33" i="40"/>
  <c r="BK33" i="40"/>
  <c r="BP33" i="40"/>
  <c r="BJ33" i="40"/>
  <c r="BN32" i="40"/>
  <c r="BM32" i="40"/>
  <c r="BR32" i="40"/>
  <c r="BL32" i="40"/>
  <c r="BK32" i="40"/>
  <c r="BP32" i="40"/>
  <c r="BJ32" i="40"/>
  <c r="BN31" i="40"/>
  <c r="BM31" i="40"/>
  <c r="BR31" i="40"/>
  <c r="BL31" i="40"/>
  <c r="BK31" i="40"/>
  <c r="BJ31" i="40"/>
  <c r="BN30" i="40"/>
  <c r="BM30" i="40"/>
  <c r="BR30" i="40"/>
  <c r="BL30" i="40"/>
  <c r="BK30" i="40"/>
  <c r="BP30" i="40"/>
  <c r="BJ30" i="40"/>
  <c r="BN29" i="40"/>
  <c r="BM29" i="40"/>
  <c r="BR29" i="40"/>
  <c r="BL29" i="40"/>
  <c r="BK29" i="40"/>
  <c r="BP29" i="40"/>
  <c r="BJ29" i="40"/>
  <c r="BN28" i="40"/>
  <c r="BM28" i="40"/>
  <c r="BR28" i="40"/>
  <c r="BL28" i="40"/>
  <c r="BK28" i="40"/>
  <c r="BP28" i="40"/>
  <c r="BJ28" i="40"/>
  <c r="BN27" i="40"/>
  <c r="BM27" i="40"/>
  <c r="BR27" i="40"/>
  <c r="BL27" i="40"/>
  <c r="BK27" i="40"/>
  <c r="BP27" i="40"/>
  <c r="BJ27" i="40"/>
  <c r="BN26" i="40"/>
  <c r="BM26" i="40"/>
  <c r="BR26" i="40"/>
  <c r="BL26" i="40"/>
  <c r="BK26" i="40"/>
  <c r="BP26" i="40"/>
  <c r="BJ26" i="40"/>
  <c r="BN25" i="40"/>
  <c r="BM25" i="40"/>
  <c r="BR25" i="40"/>
  <c r="BL25" i="40"/>
  <c r="BK25" i="40"/>
  <c r="BP25" i="40"/>
  <c r="BJ25" i="40"/>
  <c r="BN24" i="40"/>
  <c r="BM24" i="40"/>
  <c r="BR24" i="40"/>
  <c r="BL24" i="40"/>
  <c r="BK24" i="40"/>
  <c r="BJ24" i="40"/>
  <c r="BN23" i="40"/>
  <c r="BM23" i="40"/>
  <c r="BR23" i="40"/>
  <c r="BL23" i="40"/>
  <c r="BK23" i="40"/>
  <c r="BP23" i="40"/>
  <c r="BJ23" i="40"/>
  <c r="BN22" i="40"/>
  <c r="BM22" i="40"/>
  <c r="BR22" i="40"/>
  <c r="BL22" i="40"/>
  <c r="BK22" i="40"/>
  <c r="BP22" i="40"/>
  <c r="BJ22" i="40"/>
  <c r="BN21" i="40"/>
  <c r="BM21" i="40"/>
  <c r="BR21" i="40"/>
  <c r="BL21" i="40"/>
  <c r="BK21" i="40"/>
  <c r="BP21" i="40"/>
  <c r="BJ21" i="40"/>
  <c r="BN20" i="40"/>
  <c r="BM20" i="40"/>
  <c r="BR20" i="40"/>
  <c r="BL20" i="40"/>
  <c r="BK20" i="40"/>
  <c r="BP20" i="40"/>
  <c r="BJ20" i="40"/>
  <c r="BN19" i="40"/>
  <c r="BM19" i="40"/>
  <c r="BR19" i="40"/>
  <c r="BL19" i="40"/>
  <c r="BK19" i="40"/>
  <c r="BP19" i="40"/>
  <c r="BJ19" i="40"/>
  <c r="BN18" i="40"/>
  <c r="BM18" i="40"/>
  <c r="BR18" i="40"/>
  <c r="BL18" i="40"/>
  <c r="BK18" i="40"/>
  <c r="BJ18" i="40"/>
  <c r="BN17" i="40"/>
  <c r="BM17" i="40"/>
  <c r="BR17" i="40"/>
  <c r="BL17" i="40"/>
  <c r="BK17" i="40"/>
  <c r="BP17" i="40"/>
  <c r="BJ17" i="40"/>
  <c r="BN16" i="40"/>
  <c r="BM16" i="40"/>
  <c r="BR16" i="40"/>
  <c r="BL16" i="40"/>
  <c r="BK16" i="40"/>
  <c r="BP16" i="40"/>
  <c r="BJ16" i="40"/>
  <c r="BN15" i="40"/>
  <c r="BM15" i="40"/>
  <c r="BR15" i="40"/>
  <c r="BL15" i="40"/>
  <c r="BK15" i="40"/>
  <c r="BP15" i="40"/>
  <c r="BJ15" i="40"/>
  <c r="BN14" i="40"/>
  <c r="BM14" i="40"/>
  <c r="BR14" i="40"/>
  <c r="BL14" i="40"/>
  <c r="BK14" i="40"/>
  <c r="BP14" i="40"/>
  <c r="BJ14" i="40"/>
  <c r="BN13" i="40"/>
  <c r="BM13" i="40"/>
  <c r="BR13" i="40"/>
  <c r="BL13" i="40"/>
  <c r="BK13" i="40"/>
  <c r="BP13" i="40"/>
  <c r="BJ13" i="40"/>
  <c r="BN12" i="40"/>
  <c r="BM12" i="40"/>
  <c r="BR12" i="40"/>
  <c r="BL12" i="40"/>
  <c r="BK12" i="40"/>
  <c r="BP12" i="40"/>
  <c r="BJ12" i="40"/>
  <c r="BN11" i="40"/>
  <c r="BM11" i="40"/>
  <c r="BR11" i="40"/>
  <c r="BL11" i="40"/>
  <c r="BK11" i="40"/>
  <c r="BP11" i="40"/>
  <c r="BJ11" i="40"/>
  <c r="BN10" i="40"/>
  <c r="BM10" i="40"/>
  <c r="BL10" i="40"/>
  <c r="BK10" i="40"/>
  <c r="BJ10" i="40"/>
  <c r="BN9" i="40"/>
  <c r="BM9" i="40"/>
  <c r="BR9" i="40"/>
  <c r="BL9" i="40"/>
  <c r="BK9" i="40"/>
  <c r="BJ9" i="40"/>
  <c r="BN8" i="40"/>
  <c r="BM8" i="40"/>
  <c r="BL8" i="40"/>
  <c r="BK8" i="40"/>
  <c r="BJ8" i="40"/>
  <c r="BN7" i="40"/>
  <c r="BM7" i="40"/>
  <c r="BL7" i="40"/>
  <c r="BK7" i="40"/>
  <c r="BJ7" i="40"/>
  <c r="BO7" i="40"/>
  <c r="BI41" i="40"/>
  <c r="BH41" i="40"/>
  <c r="BG41" i="40"/>
  <c r="BF41" i="40"/>
  <c r="BE41" i="40"/>
  <c r="BI40" i="40"/>
  <c r="BH40" i="40"/>
  <c r="BG40" i="40"/>
  <c r="BF40" i="40"/>
  <c r="BE40" i="40"/>
  <c r="BI39" i="40"/>
  <c r="BH39" i="40"/>
  <c r="BG39" i="40"/>
  <c r="BF39" i="40"/>
  <c r="BE39" i="40"/>
  <c r="BI38" i="40"/>
  <c r="BH38" i="40"/>
  <c r="BG38" i="40"/>
  <c r="BF38" i="40"/>
  <c r="BE38" i="40"/>
  <c r="BI37" i="40"/>
  <c r="BH37" i="40"/>
  <c r="BG37" i="40"/>
  <c r="BF37" i="40"/>
  <c r="BE37" i="40"/>
  <c r="BI36" i="40"/>
  <c r="BH36" i="40"/>
  <c r="BG36" i="40"/>
  <c r="BF36" i="40"/>
  <c r="BE36" i="40"/>
  <c r="BI35" i="40"/>
  <c r="BH35" i="40"/>
  <c r="BG35" i="40"/>
  <c r="BF35" i="40"/>
  <c r="BE35" i="40"/>
  <c r="BI34" i="40"/>
  <c r="BH34" i="40"/>
  <c r="BG34" i="40"/>
  <c r="BF34" i="40"/>
  <c r="BE34" i="40"/>
  <c r="BI33" i="40"/>
  <c r="BH33" i="40"/>
  <c r="BG33" i="40"/>
  <c r="BF33" i="40"/>
  <c r="BE33" i="40"/>
  <c r="BI32" i="40"/>
  <c r="BH32" i="40"/>
  <c r="BG32" i="40"/>
  <c r="BF32" i="40"/>
  <c r="BE32" i="40"/>
  <c r="BI31" i="40"/>
  <c r="BH31" i="40"/>
  <c r="BG31" i="40"/>
  <c r="BF31" i="40"/>
  <c r="BE31" i="40"/>
  <c r="BI30" i="40"/>
  <c r="BH30" i="40"/>
  <c r="BG30" i="40"/>
  <c r="BF30" i="40"/>
  <c r="BE30" i="40"/>
  <c r="BI29" i="40"/>
  <c r="BH29" i="40"/>
  <c r="BG29" i="40"/>
  <c r="BF29" i="40"/>
  <c r="BE29" i="40"/>
  <c r="BI28" i="40"/>
  <c r="BH28" i="40"/>
  <c r="BG28" i="40"/>
  <c r="BF28" i="40"/>
  <c r="BE28" i="40"/>
  <c r="BI27" i="40"/>
  <c r="BH27" i="40"/>
  <c r="BG27" i="40"/>
  <c r="BF27" i="40"/>
  <c r="BE27" i="40"/>
  <c r="BI26" i="40"/>
  <c r="BH26" i="40"/>
  <c r="BG26" i="40"/>
  <c r="BF26" i="40"/>
  <c r="BE26" i="40"/>
  <c r="BI25" i="40"/>
  <c r="BH25" i="40"/>
  <c r="BG25" i="40"/>
  <c r="BF25" i="40"/>
  <c r="BE25" i="40"/>
  <c r="BI24" i="40"/>
  <c r="BH24" i="40"/>
  <c r="BG24" i="40"/>
  <c r="BF24" i="40"/>
  <c r="BE24" i="40"/>
  <c r="BI23" i="40"/>
  <c r="BH23" i="40"/>
  <c r="BG23" i="40"/>
  <c r="BF23" i="40"/>
  <c r="BE23" i="40"/>
  <c r="BI22" i="40"/>
  <c r="BH22" i="40"/>
  <c r="BG22" i="40"/>
  <c r="BF22" i="40"/>
  <c r="BE22" i="40"/>
  <c r="BI21" i="40"/>
  <c r="BH21" i="40"/>
  <c r="BG21" i="40"/>
  <c r="BF21" i="40"/>
  <c r="BE21" i="40"/>
  <c r="BI20" i="40"/>
  <c r="BH20" i="40"/>
  <c r="BG20" i="40"/>
  <c r="BF20" i="40"/>
  <c r="BE20" i="40"/>
  <c r="BI19" i="40"/>
  <c r="BH19" i="40"/>
  <c r="BG19" i="40"/>
  <c r="BF19" i="40"/>
  <c r="BE19" i="40"/>
  <c r="BI18" i="40"/>
  <c r="BH18" i="40"/>
  <c r="BG18" i="40"/>
  <c r="BF18" i="40"/>
  <c r="BE18" i="40"/>
  <c r="BI17" i="40"/>
  <c r="BH17" i="40"/>
  <c r="BG17" i="40"/>
  <c r="BF17" i="40"/>
  <c r="BE17" i="40"/>
  <c r="BI16" i="40"/>
  <c r="BH16" i="40"/>
  <c r="BG16" i="40"/>
  <c r="BF16" i="40"/>
  <c r="BE16" i="40"/>
  <c r="BI15" i="40"/>
  <c r="BH15" i="40"/>
  <c r="BG15" i="40"/>
  <c r="BF15" i="40"/>
  <c r="BE15" i="40"/>
  <c r="BI14" i="40"/>
  <c r="BH14" i="40"/>
  <c r="BG14" i="40"/>
  <c r="BF14" i="40"/>
  <c r="BE14" i="40"/>
  <c r="BI13" i="40"/>
  <c r="BH13" i="40"/>
  <c r="BG13" i="40"/>
  <c r="BF13" i="40"/>
  <c r="BE13" i="40"/>
  <c r="BI12" i="40"/>
  <c r="BH12" i="40"/>
  <c r="BG12" i="40"/>
  <c r="BF12" i="40"/>
  <c r="BE12" i="40"/>
  <c r="BI11" i="40"/>
  <c r="BH11" i="40"/>
  <c r="BG11" i="40"/>
  <c r="BF11" i="40"/>
  <c r="BE11" i="40"/>
  <c r="BI10" i="40"/>
  <c r="BH10" i="40"/>
  <c r="BG10" i="40"/>
  <c r="BF10" i="40"/>
  <c r="BE10" i="40"/>
  <c r="BI9" i="40"/>
  <c r="BH9" i="40"/>
  <c r="BG9" i="40"/>
  <c r="BF9" i="40"/>
  <c r="BE9" i="40"/>
  <c r="BI8" i="40"/>
  <c r="BH8" i="40"/>
  <c r="BG8" i="40"/>
  <c r="BF8" i="40"/>
  <c r="BE8" i="40"/>
  <c r="BI7" i="40"/>
  <c r="BH7" i="40"/>
  <c r="BG7" i="40"/>
  <c r="BF7" i="40"/>
  <c r="BE7" i="40"/>
  <c r="C8" i="82"/>
  <c r="C8" i="83"/>
  <c r="B53" i="82"/>
  <c r="I17" i="85"/>
  <c r="G17" i="85"/>
  <c r="BR7" i="40"/>
  <c r="BR8" i="40"/>
  <c r="BR34" i="40"/>
  <c r="BR10" i="40"/>
  <c r="BP34" i="40"/>
  <c r="BP31" i="40"/>
  <c r="BP24" i="40"/>
  <c r="BP18" i="40"/>
  <c r="BP10" i="40"/>
  <c r="BS7" i="40"/>
  <c r="BS42" i="40"/>
  <c r="BP9" i="40"/>
  <c r="AL49" i="69"/>
  <c r="AL48" i="69"/>
  <c r="BP7" i="40"/>
  <c r="BP8" i="40"/>
  <c r="AF51" i="69"/>
  <c r="AJ51" i="69"/>
  <c r="AO51" i="69"/>
  <c r="BG42" i="40"/>
  <c r="BM42" i="40"/>
  <c r="BH42" i="40"/>
  <c r="BN42" i="40"/>
  <c r="BE42" i="40"/>
  <c r="BI42" i="40"/>
  <c r="BK42" i="40"/>
  <c r="AH51" i="69"/>
  <c r="AE51" i="69"/>
  <c r="AL50" i="69"/>
  <c r="BF42" i="40"/>
  <c r="BL42" i="40"/>
  <c r="AM48" i="69"/>
  <c r="AN51" i="69"/>
  <c r="AG51" i="69"/>
  <c r="AG52" i="69"/>
  <c r="AK51" i="69"/>
  <c r="AM49" i="69"/>
  <c r="AC51" i="69"/>
  <c r="AA51" i="69"/>
  <c r="AD51" i="69"/>
  <c r="AI51" i="69"/>
  <c r="BJ42" i="40"/>
  <c r="BO42" i="40"/>
  <c r="BQ42" i="40"/>
  <c r="BR42" i="40"/>
  <c r="B27" i="83"/>
  <c r="AL51" i="69"/>
  <c r="AF52" i="69"/>
  <c r="BP42" i="40"/>
  <c r="AM51" i="69"/>
  <c r="B26" i="83"/>
  <c r="BK43" i="40"/>
  <c r="B19" i="83"/>
  <c r="E70" i="84"/>
  <c r="G70" i="84"/>
  <c r="BL43" i="40"/>
  <c r="AJ52" i="69"/>
  <c r="B28" i="83"/>
  <c r="D28" i="83"/>
  <c r="BM43" i="40"/>
  <c r="BJ43" i="40"/>
  <c r="B18" i="83"/>
  <c r="E69" i="84"/>
  <c r="G69" i="84"/>
  <c r="AH52" i="69"/>
  <c r="BN43" i="40"/>
  <c r="B24" i="83"/>
  <c r="AI52" i="69"/>
  <c r="E38" i="105"/>
  <c r="L1" i="105"/>
  <c r="A1" i="105"/>
  <c r="C45" i="81"/>
  <c r="C27" i="81"/>
  <c r="C33" i="81"/>
  <c r="G51" i="69"/>
  <c r="B25" i="83"/>
  <c r="D25" i="83"/>
  <c r="B21" i="83"/>
  <c r="E72" i="84"/>
  <c r="G72" i="84"/>
  <c r="B20" i="83"/>
  <c r="E71" i="84"/>
  <c r="G71" i="84"/>
  <c r="B22" i="83"/>
  <c r="E73" i="84"/>
  <c r="G73" i="84"/>
  <c r="E79" i="84"/>
  <c r="G79" i="84"/>
  <c r="D27" i="83"/>
  <c r="E78" i="84"/>
  <c r="G78" i="84"/>
  <c r="D24" i="83"/>
  <c r="E75" i="84"/>
  <c r="G75" i="84"/>
  <c r="D26" i="83"/>
  <c r="E77" i="84"/>
  <c r="G77" i="84"/>
  <c r="C51" i="81"/>
  <c r="AT24" i="51"/>
  <c r="AT23" i="51"/>
  <c r="AT22" i="51"/>
  <c r="AT21" i="51"/>
  <c r="E76" i="84"/>
  <c r="G76" i="84"/>
  <c r="G81" i="84"/>
  <c r="D21" i="83"/>
  <c r="C15" i="104"/>
  <c r="K15" i="104"/>
  <c r="I59" i="104"/>
  <c r="H59" i="104"/>
  <c r="G59" i="104"/>
  <c r="F59" i="104"/>
  <c r="E59" i="104"/>
  <c r="D59" i="104"/>
  <c r="K58" i="104"/>
  <c r="B58" i="104"/>
  <c r="K57" i="104"/>
  <c r="B57" i="104"/>
  <c r="K56" i="104"/>
  <c r="B56" i="104"/>
  <c r="K55" i="104"/>
  <c r="B55" i="104"/>
  <c r="K54" i="104"/>
  <c r="B54" i="104"/>
  <c r="K53" i="104"/>
  <c r="B53" i="104"/>
  <c r="K52" i="104"/>
  <c r="B52" i="104"/>
  <c r="K51" i="104"/>
  <c r="B51" i="104"/>
  <c r="K50" i="104"/>
  <c r="B50" i="104"/>
  <c r="K49" i="104"/>
  <c r="K48" i="104"/>
  <c r="K47" i="104"/>
  <c r="K46" i="104"/>
  <c r="K45" i="104"/>
  <c r="K44" i="104"/>
  <c r="K43" i="104"/>
  <c r="K42" i="104"/>
  <c r="K41" i="104"/>
  <c r="K40" i="104"/>
  <c r="K39" i="104"/>
  <c r="K38" i="104"/>
  <c r="K37" i="104"/>
  <c r="K36" i="104"/>
  <c r="K35" i="104"/>
  <c r="K34" i="104"/>
  <c r="K33" i="104"/>
  <c r="K32" i="104"/>
  <c r="K31" i="104"/>
  <c r="K30" i="104"/>
  <c r="K29" i="104"/>
  <c r="K28" i="104"/>
  <c r="K27" i="104"/>
  <c r="K26" i="104"/>
  <c r="K25" i="104"/>
  <c r="K24" i="104"/>
  <c r="K23" i="104"/>
  <c r="K22" i="104"/>
  <c r="K21" i="104"/>
  <c r="K20" i="104"/>
  <c r="K19" i="104"/>
  <c r="K18" i="104"/>
  <c r="K17" i="104"/>
  <c r="K14" i="104"/>
  <c r="K13" i="104"/>
  <c r="K12" i="104"/>
  <c r="K11" i="104"/>
  <c r="K10" i="104"/>
  <c r="K9" i="104"/>
  <c r="H8" i="104"/>
  <c r="G8" i="104"/>
  <c r="F8" i="104"/>
  <c r="E8" i="104"/>
  <c r="I1" i="104"/>
  <c r="A1" i="104"/>
  <c r="F60" i="104"/>
  <c r="D60" i="104"/>
  <c r="E60" i="104"/>
  <c r="G60" i="104"/>
  <c r="H60" i="104"/>
  <c r="C59" i="104"/>
  <c r="K59" i="104"/>
  <c r="K16" i="104"/>
  <c r="D49" i="51"/>
  <c r="G8" i="46"/>
  <c r="E8" i="46"/>
  <c r="E36" i="102"/>
  <c r="L1" i="102"/>
  <c r="A1" i="102"/>
  <c r="C14" i="60"/>
  <c r="C12" i="60"/>
  <c r="C9" i="60"/>
  <c r="C8" i="60"/>
  <c r="C7" i="60"/>
  <c r="M52" i="100"/>
  <c r="M51" i="100"/>
  <c r="M50" i="100"/>
  <c r="M49" i="100"/>
  <c r="M48" i="100"/>
  <c r="M47" i="100"/>
  <c r="M46" i="100"/>
  <c r="M45" i="100"/>
  <c r="M44" i="100"/>
  <c r="M43" i="100"/>
  <c r="M42" i="100"/>
  <c r="M41" i="100"/>
  <c r="M40" i="100"/>
  <c r="M39" i="100"/>
  <c r="M38" i="100"/>
  <c r="M37" i="100"/>
  <c r="M36" i="100"/>
  <c r="M35" i="100"/>
  <c r="M34" i="100"/>
  <c r="M33" i="100"/>
  <c r="M32" i="100"/>
  <c r="M31" i="100"/>
  <c r="M30" i="100"/>
  <c r="M29" i="100"/>
  <c r="M28" i="100"/>
  <c r="M27" i="100"/>
  <c r="M26" i="100"/>
  <c r="M25" i="100"/>
  <c r="M24" i="100"/>
  <c r="M23" i="100"/>
  <c r="M22" i="100"/>
  <c r="M21" i="100"/>
  <c r="M20" i="100"/>
  <c r="M19" i="100"/>
  <c r="M18" i="100"/>
  <c r="G18" i="100"/>
  <c r="E52" i="100"/>
  <c r="C52" i="100"/>
  <c r="E51" i="100"/>
  <c r="C51" i="100"/>
  <c r="E50" i="100"/>
  <c r="C50" i="100"/>
  <c r="E49" i="100"/>
  <c r="C49" i="100"/>
  <c r="E48" i="100"/>
  <c r="C48" i="100"/>
  <c r="E47" i="100"/>
  <c r="C47" i="100"/>
  <c r="E46" i="100"/>
  <c r="C46" i="100"/>
  <c r="E45" i="100"/>
  <c r="C45" i="100"/>
  <c r="E44" i="100"/>
  <c r="C44" i="100"/>
  <c r="E43" i="100"/>
  <c r="C43" i="100"/>
  <c r="E42" i="100"/>
  <c r="C42" i="100"/>
  <c r="E41" i="100"/>
  <c r="C41" i="100"/>
  <c r="E40" i="100"/>
  <c r="C40" i="100"/>
  <c r="E39" i="100"/>
  <c r="C39" i="100"/>
  <c r="E38" i="100"/>
  <c r="C38" i="100"/>
  <c r="E37" i="100"/>
  <c r="C37" i="100"/>
  <c r="E36" i="100"/>
  <c r="C36" i="100"/>
  <c r="E35" i="100"/>
  <c r="C35" i="100"/>
  <c r="E34" i="100"/>
  <c r="C34" i="100"/>
  <c r="E33" i="100"/>
  <c r="C33" i="100"/>
  <c r="E32" i="100"/>
  <c r="C32" i="100"/>
  <c r="E31" i="100"/>
  <c r="C31" i="100"/>
  <c r="E30" i="100"/>
  <c r="C30" i="100"/>
  <c r="E29" i="100"/>
  <c r="C29" i="100"/>
  <c r="E28" i="100"/>
  <c r="C28" i="100"/>
  <c r="E27" i="100"/>
  <c r="C27" i="100"/>
  <c r="E26" i="100"/>
  <c r="C26" i="100"/>
  <c r="E25" i="100"/>
  <c r="C25" i="100"/>
  <c r="E24" i="100"/>
  <c r="C24" i="100"/>
  <c r="E23" i="100"/>
  <c r="C23" i="100"/>
  <c r="E22" i="100"/>
  <c r="C22" i="100"/>
  <c r="E21" i="100"/>
  <c r="C21" i="100"/>
  <c r="E20" i="100"/>
  <c r="C20" i="100"/>
  <c r="E19" i="100"/>
  <c r="C19" i="100"/>
  <c r="E18" i="100"/>
  <c r="C18" i="100"/>
  <c r="M1" i="100"/>
  <c r="A1" i="100"/>
  <c r="E53" i="100"/>
  <c r="M13" i="43"/>
  <c r="M11" i="43"/>
  <c r="AS56" i="77"/>
  <c r="AS54" i="77"/>
  <c r="AS52" i="77"/>
  <c r="AM29" i="77"/>
  <c r="AM27" i="77"/>
  <c r="AS25" i="77"/>
  <c r="AM25" i="77"/>
  <c r="AS23" i="77"/>
  <c r="AM23" i="77"/>
  <c r="AS21" i="77"/>
  <c r="AM21" i="77"/>
  <c r="AS19" i="77"/>
  <c r="AM19" i="77"/>
  <c r="AS17" i="77"/>
  <c r="AM17" i="77"/>
  <c r="AS15" i="77"/>
  <c r="AM15" i="77"/>
  <c r="AS13" i="77"/>
  <c r="AM13" i="77"/>
  <c r="O23" i="72"/>
  <c r="O9" i="72"/>
  <c r="N8" i="12"/>
  <c r="S1" i="94"/>
  <c r="A1" i="94"/>
  <c r="Y29" i="66"/>
  <c r="F49" i="79"/>
  <c r="H82" i="79"/>
  <c r="F22" i="79"/>
  <c r="S1" i="93"/>
  <c r="A1" i="93"/>
  <c r="L1" i="89"/>
  <c r="A1" i="89"/>
  <c r="O36" i="53"/>
  <c r="AF36" i="53"/>
  <c r="A1" i="86"/>
  <c r="W33" i="86"/>
  <c r="V26" i="64"/>
  <c r="BC41" i="40"/>
  <c r="BC40" i="40"/>
  <c r="BC39" i="40"/>
  <c r="BC38" i="40"/>
  <c r="BC37" i="40"/>
  <c r="BC36" i="40"/>
  <c r="BC35" i="40"/>
  <c r="BC34" i="40"/>
  <c r="BC33" i="40"/>
  <c r="BC32" i="40"/>
  <c r="BC31" i="40"/>
  <c r="BC30" i="40"/>
  <c r="BC29" i="40"/>
  <c r="BC28" i="40"/>
  <c r="BC27" i="40"/>
  <c r="BC26" i="40"/>
  <c r="BC25" i="40"/>
  <c r="BC24" i="40"/>
  <c r="BC23" i="40"/>
  <c r="BC22" i="40"/>
  <c r="BC21" i="40"/>
  <c r="BC20" i="40"/>
  <c r="BC19" i="40"/>
  <c r="BC18" i="40"/>
  <c r="BC17" i="40"/>
  <c r="BC16" i="40"/>
  <c r="BC15" i="40"/>
  <c r="BC14" i="40"/>
  <c r="BC13" i="40"/>
  <c r="BC12" i="40"/>
  <c r="BC11" i="40"/>
  <c r="BC10" i="40"/>
  <c r="BC9" i="40"/>
  <c r="BC8" i="40"/>
  <c r="BC7" i="40"/>
  <c r="BB41" i="40"/>
  <c r="BB40" i="40"/>
  <c r="BB39" i="40"/>
  <c r="BB38" i="40"/>
  <c r="BB37" i="40"/>
  <c r="BB36" i="40"/>
  <c r="BB35" i="40"/>
  <c r="BB34" i="40"/>
  <c r="BB33" i="40"/>
  <c r="BB32" i="40"/>
  <c r="BB31" i="40"/>
  <c r="BB30" i="40"/>
  <c r="BB29" i="40"/>
  <c r="BB28" i="40"/>
  <c r="BB27" i="40"/>
  <c r="BB26" i="40"/>
  <c r="BB25" i="40"/>
  <c r="BB24" i="40"/>
  <c r="BB23" i="40"/>
  <c r="BB22" i="40"/>
  <c r="BB21" i="40"/>
  <c r="BB20" i="40"/>
  <c r="BB19" i="40"/>
  <c r="BB18" i="40"/>
  <c r="BB17" i="40"/>
  <c r="BB16" i="40"/>
  <c r="BB15" i="40"/>
  <c r="BB14" i="40"/>
  <c r="BB13" i="40"/>
  <c r="BB12" i="40"/>
  <c r="BB11" i="40"/>
  <c r="BB10" i="40"/>
  <c r="BB9" i="40"/>
  <c r="BB8" i="40"/>
  <c r="BB7" i="40"/>
  <c r="AZ41" i="40"/>
  <c r="AZ40" i="40"/>
  <c r="AZ39" i="40"/>
  <c r="AZ38" i="40"/>
  <c r="AZ37" i="40"/>
  <c r="AZ36" i="40"/>
  <c r="AZ35" i="40"/>
  <c r="AZ34" i="40"/>
  <c r="AZ33" i="40"/>
  <c r="AZ32" i="40"/>
  <c r="AZ31" i="40"/>
  <c r="AZ30" i="40"/>
  <c r="AZ29" i="40"/>
  <c r="AZ28" i="40"/>
  <c r="AZ27" i="40"/>
  <c r="AZ26" i="40"/>
  <c r="AZ25" i="40"/>
  <c r="AZ24" i="40"/>
  <c r="AZ23" i="40"/>
  <c r="AZ22" i="40"/>
  <c r="AZ21" i="40"/>
  <c r="AZ20" i="40"/>
  <c r="AZ19" i="40"/>
  <c r="AZ18" i="40"/>
  <c r="AZ17" i="40"/>
  <c r="AZ16" i="40"/>
  <c r="AZ15" i="40"/>
  <c r="AZ14" i="40"/>
  <c r="AZ13" i="40"/>
  <c r="AZ12" i="40"/>
  <c r="AZ11" i="40"/>
  <c r="AZ10" i="40"/>
  <c r="AZ9" i="40"/>
  <c r="AZ8" i="40"/>
  <c r="AZ7" i="40"/>
  <c r="BA41" i="40"/>
  <c r="BA40" i="40"/>
  <c r="BA39" i="40"/>
  <c r="BA38" i="40"/>
  <c r="BA37" i="40"/>
  <c r="BA36" i="40"/>
  <c r="BA35" i="40"/>
  <c r="BA34" i="40"/>
  <c r="BA33" i="40"/>
  <c r="BA32" i="40"/>
  <c r="BA31" i="40"/>
  <c r="BA30" i="40"/>
  <c r="BA29" i="40"/>
  <c r="BA28" i="40"/>
  <c r="BA27" i="40"/>
  <c r="BA26" i="40"/>
  <c r="BA25" i="40"/>
  <c r="BA24" i="40"/>
  <c r="BA23" i="40"/>
  <c r="BA22" i="40"/>
  <c r="BA21" i="40"/>
  <c r="BA20" i="40"/>
  <c r="BA19" i="40"/>
  <c r="BA18" i="40"/>
  <c r="BA17" i="40"/>
  <c r="BA16" i="40"/>
  <c r="BA15" i="40"/>
  <c r="BA14" i="40"/>
  <c r="BA13" i="40"/>
  <c r="BA12" i="40"/>
  <c r="BA11" i="40"/>
  <c r="BA10" i="40"/>
  <c r="BA9" i="40"/>
  <c r="BA8" i="40"/>
  <c r="BA7" i="40"/>
  <c r="I10" i="69"/>
  <c r="I44" i="69"/>
  <c r="I43" i="69"/>
  <c r="I42" i="69"/>
  <c r="I41" i="69"/>
  <c r="T41" i="69"/>
  <c r="I40" i="69"/>
  <c r="I39" i="69"/>
  <c r="I38" i="69"/>
  <c r="I37" i="69"/>
  <c r="T37" i="69"/>
  <c r="I36" i="69"/>
  <c r="I35" i="69"/>
  <c r="I34" i="69"/>
  <c r="I33" i="69"/>
  <c r="T33" i="69"/>
  <c r="I32" i="69"/>
  <c r="I31" i="69"/>
  <c r="I30" i="69"/>
  <c r="I29" i="69"/>
  <c r="T29" i="69"/>
  <c r="I28" i="69"/>
  <c r="I27" i="69"/>
  <c r="I26" i="69"/>
  <c r="I25" i="69"/>
  <c r="T25" i="69"/>
  <c r="I24" i="69"/>
  <c r="I23" i="69"/>
  <c r="I22" i="69"/>
  <c r="I21" i="69"/>
  <c r="T21" i="69"/>
  <c r="I20" i="69"/>
  <c r="T20" i="69"/>
  <c r="I19" i="69"/>
  <c r="I18" i="69"/>
  <c r="I17" i="69"/>
  <c r="I16" i="69"/>
  <c r="T16" i="69"/>
  <c r="I15" i="69"/>
  <c r="I14" i="69"/>
  <c r="I13" i="69"/>
  <c r="I12" i="69"/>
  <c r="T12" i="69"/>
  <c r="I11" i="69"/>
  <c r="X28" i="69"/>
  <c r="T28" i="69"/>
  <c r="X44" i="69"/>
  <c r="T44" i="69"/>
  <c r="X17" i="69"/>
  <c r="T17" i="69"/>
  <c r="X24" i="69"/>
  <c r="T24" i="69"/>
  <c r="X32" i="69"/>
  <c r="T32" i="69"/>
  <c r="X40" i="69"/>
  <c r="T40" i="69"/>
  <c r="X18" i="69"/>
  <c r="T18" i="69"/>
  <c r="X22" i="69"/>
  <c r="T22" i="69"/>
  <c r="X26" i="69"/>
  <c r="T26" i="69"/>
  <c r="X30" i="69"/>
  <c r="T30" i="69"/>
  <c r="X34" i="69"/>
  <c r="T34" i="69"/>
  <c r="X38" i="69"/>
  <c r="T38" i="69"/>
  <c r="X42" i="69"/>
  <c r="T42" i="69"/>
  <c r="X36" i="69"/>
  <c r="T36" i="69"/>
  <c r="X15" i="69"/>
  <c r="T15" i="69"/>
  <c r="X19" i="69"/>
  <c r="T19" i="69"/>
  <c r="X23" i="69"/>
  <c r="T23" i="69"/>
  <c r="X27" i="69"/>
  <c r="T27" i="69"/>
  <c r="X31" i="69"/>
  <c r="T31" i="69"/>
  <c r="X35" i="69"/>
  <c r="T35" i="69"/>
  <c r="X39" i="69"/>
  <c r="T39" i="69"/>
  <c r="X43" i="69"/>
  <c r="T43" i="69"/>
  <c r="X13" i="69"/>
  <c r="T13" i="69"/>
  <c r="X14" i="69"/>
  <c r="T14" i="69"/>
  <c r="X11" i="69"/>
  <c r="T11" i="69"/>
  <c r="X10" i="69"/>
  <c r="T10" i="69"/>
  <c r="X33" i="69"/>
  <c r="X29" i="69"/>
  <c r="X12" i="69"/>
  <c r="AZ42" i="40"/>
  <c r="Q9" i="64"/>
  <c r="BC42" i="40"/>
  <c r="X16" i="69"/>
  <c r="X21" i="69"/>
  <c r="X37" i="69"/>
  <c r="X25" i="69"/>
  <c r="X41" i="69"/>
  <c r="X20" i="69"/>
  <c r="BA42" i="40"/>
  <c r="BB42" i="40"/>
  <c r="BA50" i="40"/>
  <c r="Q11" i="64"/>
  <c r="AC16" i="64"/>
  <c r="BA53" i="40"/>
  <c r="AC14" i="64"/>
  <c r="BC43" i="40"/>
  <c r="I17" i="65"/>
  <c r="Z37" i="65" a="1"/>
  <c r="Z37" i="65"/>
  <c r="S35" i="86"/>
  <c r="F23" i="79"/>
  <c r="V44" i="64"/>
  <c r="AQ45" i="51"/>
  <c r="AV45" i="51"/>
  <c r="AQ41" i="51"/>
  <c r="AT26" i="51"/>
  <c r="BB53" i="40"/>
  <c r="P21" i="12"/>
  <c r="BB50" i="40"/>
  <c r="P17" i="12"/>
  <c r="AC15" i="64"/>
  <c r="BA51" i="40"/>
  <c r="C1" i="81"/>
  <c r="H1" i="79"/>
  <c r="L1" i="26"/>
  <c r="J1" i="38"/>
  <c r="L1" i="24"/>
  <c r="L1" i="23"/>
  <c r="Q1" i="18"/>
  <c r="P1" i="12"/>
  <c r="U1" i="77"/>
  <c r="T1" i="76"/>
  <c r="O1" i="75"/>
  <c r="V1" i="71"/>
  <c r="M1" i="69"/>
  <c r="U1" i="87"/>
  <c r="U1" i="68"/>
  <c r="M1" i="67"/>
  <c r="W1" i="66"/>
  <c r="S1" i="65"/>
  <c r="Q1" i="86"/>
  <c r="L1" i="72"/>
  <c r="Q1" i="64"/>
  <c r="K1" i="60"/>
  <c r="I1" i="58"/>
  <c r="H1" i="57"/>
  <c r="I1" i="56"/>
  <c r="N1" i="55"/>
  <c r="O1" i="53"/>
  <c r="R1" i="52"/>
  <c r="R1" i="51"/>
  <c r="I1" i="48"/>
  <c r="I1" i="46"/>
  <c r="K1" i="44"/>
  <c r="G1" i="50"/>
  <c r="G1" i="49"/>
  <c r="F1" i="43"/>
  <c r="H1" i="42"/>
  <c r="H1" i="41"/>
  <c r="K1" i="62"/>
  <c r="J1" i="40"/>
  <c r="R1" i="63"/>
  <c r="A1" i="81"/>
  <c r="A1" i="79"/>
  <c r="A1" i="26"/>
  <c r="A1" i="38"/>
  <c r="A1" i="24"/>
  <c r="A1" i="23"/>
  <c r="A1" i="18"/>
  <c r="A1" i="12"/>
  <c r="A1" i="77"/>
  <c r="A1" i="76"/>
  <c r="A1" i="75"/>
  <c r="A1" i="71"/>
  <c r="A1" i="87"/>
  <c r="A1" i="69"/>
  <c r="A1" i="68"/>
  <c r="A1" i="67"/>
  <c r="A1" i="66"/>
  <c r="A1" i="65"/>
  <c r="A1" i="72"/>
  <c r="A1" i="64"/>
  <c r="A1" i="60"/>
  <c r="A1" i="58"/>
  <c r="A1" i="57"/>
  <c r="A1" i="56"/>
  <c r="A1" i="55"/>
  <c r="A1" i="53"/>
  <c r="A1" i="52"/>
  <c r="A1" i="51"/>
  <c r="A1" i="48"/>
  <c r="A1" i="46"/>
  <c r="A1" i="44"/>
  <c r="A1" i="50"/>
  <c r="A1" i="49"/>
  <c r="A1" i="43"/>
  <c r="A1" i="42"/>
  <c r="A1" i="41"/>
  <c r="A1" i="62"/>
  <c r="A1" i="40"/>
  <c r="A1" i="63"/>
  <c r="X12" i="71"/>
  <c r="F78" i="79"/>
  <c r="F69" i="79"/>
  <c r="X20" i="71"/>
  <c r="F80" i="79"/>
  <c r="X16" i="71"/>
  <c r="F79" i="79"/>
  <c r="X8" i="71"/>
  <c r="F77" i="79"/>
  <c r="BA56" i="40"/>
  <c r="BC51" i="40"/>
  <c r="BB51" i="40"/>
  <c r="P19" i="12"/>
  <c r="X50" i="69"/>
  <c r="Y50" i="69"/>
  <c r="X49" i="69"/>
  <c r="Y49" i="69"/>
  <c r="X48" i="69"/>
  <c r="Y48" i="69"/>
  <c r="BC50" i="40"/>
  <c r="BC53" i="40"/>
  <c r="BC54" i="40"/>
  <c r="F51" i="69"/>
  <c r="L15" i="12"/>
  <c r="BC56" i="40"/>
  <c r="W50" i="69"/>
  <c r="S50" i="69"/>
  <c r="W48" i="69"/>
  <c r="S48" i="69"/>
  <c r="W49" i="69"/>
  <c r="S49" i="69"/>
  <c r="V28" i="87"/>
  <c r="W22" i="87"/>
  <c r="F73" i="79"/>
  <c r="X12" i="87"/>
  <c r="X44" i="87"/>
  <c r="W18" i="87"/>
  <c r="W12" i="87"/>
  <c r="W8" i="87"/>
  <c r="F71" i="79"/>
  <c r="I3" i="87"/>
  <c r="F3" i="69"/>
  <c r="F70" i="79"/>
  <c r="W16" i="68"/>
  <c r="F66" i="79"/>
  <c r="F68" i="79"/>
  <c r="W20" i="68"/>
  <c r="F67" i="79"/>
  <c r="O29" i="67"/>
  <c r="O23" i="67"/>
  <c r="O7" i="67"/>
  <c r="F55" i="79"/>
  <c r="Y49" i="66"/>
  <c r="F53" i="79"/>
  <c r="Z18" i="87"/>
  <c r="F72" i="79"/>
  <c r="Q38" i="87"/>
  <c r="AA40" i="87"/>
  <c r="J49" i="69"/>
  <c r="Z49" i="69"/>
  <c r="J50" i="69"/>
  <c r="Z50" i="69"/>
  <c r="J48" i="69"/>
  <c r="Z48" i="69"/>
  <c r="Z30" i="87"/>
  <c r="Z50" i="87"/>
  <c r="F75" i="79"/>
  <c r="Q40" i="87"/>
  <c r="S26" i="87"/>
  <c r="AA26" i="87"/>
  <c r="AB59" i="66"/>
  <c r="AB57" i="66"/>
  <c r="AB55" i="66"/>
  <c r="AB53" i="66"/>
  <c r="Y45" i="66"/>
  <c r="AB45" i="66"/>
  <c r="F51" i="79"/>
  <c r="Z37" i="66"/>
  <c r="Z59" i="65"/>
  <c r="Z57" i="65"/>
  <c r="Z55" i="65"/>
  <c r="S59" i="65"/>
  <c r="AB59" i="65"/>
  <c r="S57" i="65"/>
  <c r="AB57" i="65"/>
  <c r="S55" i="65"/>
  <c r="AB55" i="65"/>
  <c r="AB31" i="65"/>
  <c r="Y31" i="65"/>
  <c r="AB29" i="65"/>
  <c r="Y29" i="65"/>
  <c r="Z29" i="65"/>
  <c r="S29" i="65"/>
  <c r="Z31" i="65"/>
  <c r="S31" i="65"/>
  <c r="T48" i="86"/>
  <c r="AA59" i="65"/>
  <c r="X59" i="65"/>
  <c r="Y59" i="65"/>
  <c r="AA55" i="65"/>
  <c r="X55" i="65"/>
  <c r="Y55" i="65"/>
  <c r="AA57" i="65"/>
  <c r="X57" i="65"/>
  <c r="Y57" i="65"/>
  <c r="AA29" i="65"/>
  <c r="X29" i="65"/>
  <c r="AA31" i="65"/>
  <c r="X31" i="65"/>
  <c r="AB33" i="65"/>
  <c r="Y35" i="65"/>
  <c r="V48" i="86"/>
  <c r="F25" i="79"/>
  <c r="Y33" i="65"/>
  <c r="AA33" i="65"/>
  <c r="S37" i="65"/>
  <c r="U13" i="65"/>
  <c r="F26" i="79"/>
  <c r="X33" i="65"/>
  <c r="X35" i="65"/>
  <c r="AB45" i="65" a="1"/>
  <c r="AB45" i="65"/>
  <c r="Y45" i="65"/>
  <c r="Z47" i="65" a="1"/>
  <c r="Z47" i="65"/>
  <c r="S47" i="65"/>
  <c r="Z39" i="65" a="1"/>
  <c r="Z39" i="65"/>
  <c r="S39" i="65"/>
  <c r="Z41" i="65" a="1"/>
  <c r="Z41" i="65"/>
  <c r="S41" i="65"/>
  <c r="AB43" i="65" a="1"/>
  <c r="AB43" i="65"/>
  <c r="Y43" i="65"/>
  <c r="Z45" i="65" a="1"/>
  <c r="Z45" i="65"/>
  <c r="S45" i="65"/>
  <c r="AB37" i="65" a="1"/>
  <c r="AB37" i="65"/>
  <c r="Y37" i="65"/>
  <c r="AB47" i="65" a="1"/>
  <c r="AB47" i="65"/>
  <c r="AB41" i="65" a="1"/>
  <c r="AB41" i="65"/>
  <c r="Y41" i="65"/>
  <c r="Z43" i="65" a="1"/>
  <c r="Z43" i="65"/>
  <c r="S43" i="65"/>
  <c r="AB39" i="65" a="1"/>
  <c r="AB39" i="65"/>
  <c r="Y39" i="65"/>
  <c r="Z23" i="65" a="1"/>
  <c r="Z23" i="65"/>
  <c r="S23" i="65"/>
  <c r="AB23" i="65" a="1"/>
  <c r="AB23" i="65"/>
  <c r="Y23" i="65"/>
  <c r="AB25" i="65" a="1"/>
  <c r="AB25" i="65"/>
  <c r="Y25" i="65"/>
  <c r="AB21" i="65" a="1"/>
  <c r="AB21" i="65"/>
  <c r="Y21" i="65"/>
  <c r="Z25" i="65" a="1"/>
  <c r="Z25" i="65"/>
  <c r="S25" i="65"/>
  <c r="Z21" i="65" a="1"/>
  <c r="Z21" i="65"/>
  <c r="S21" i="65"/>
  <c r="AB19" i="65" a="1"/>
  <c r="AB19" i="65"/>
  <c r="Y19" i="65"/>
  <c r="Z19" i="65" a="1"/>
  <c r="Z19" i="65"/>
  <c r="S19" i="65"/>
  <c r="S39" i="86"/>
  <c r="F24" i="79"/>
  <c r="Y47" i="65"/>
  <c r="AA47" i="65"/>
  <c r="X47" i="65"/>
  <c r="AA21" i="65"/>
  <c r="X21" i="65"/>
  <c r="AA39" i="65"/>
  <c r="X39" i="65"/>
  <c r="AA37" i="65"/>
  <c r="X37" i="65"/>
  <c r="AA25" i="65"/>
  <c r="X25" i="65"/>
  <c r="AA19" i="65"/>
  <c r="X19" i="65"/>
  <c r="AA23" i="65"/>
  <c r="X23" i="65"/>
  <c r="AA41" i="65"/>
  <c r="X41" i="65"/>
  <c r="AA43" i="65"/>
  <c r="X43" i="65"/>
  <c r="AA45" i="65"/>
  <c r="X45" i="65"/>
  <c r="S17" i="86"/>
  <c r="F20" i="79"/>
  <c r="O16" i="75"/>
  <c r="AD14" i="75"/>
  <c r="AD11" i="75"/>
  <c r="AD9" i="75"/>
  <c r="AD7" i="75"/>
  <c r="V5" i="86"/>
  <c r="F21" i="79"/>
  <c r="Q9" i="86"/>
  <c r="O58" i="64"/>
  <c r="O38" i="64"/>
  <c r="Q40" i="64"/>
  <c r="O60" i="64"/>
  <c r="Q62" i="64"/>
  <c r="S62" i="64"/>
  <c r="F15" i="79"/>
  <c r="S40" i="64"/>
  <c r="F12" i="79"/>
  <c r="Q13" i="64"/>
  <c r="S9" i="64"/>
  <c r="S11" i="64"/>
  <c r="O59" i="51"/>
  <c r="U55" i="65"/>
  <c r="U57" i="65"/>
  <c r="U59" i="65"/>
  <c r="S26" i="64"/>
  <c r="F10" i="79"/>
  <c r="Y15" i="66"/>
  <c r="F44" i="79"/>
  <c r="X11" i="64"/>
  <c r="X9" i="64"/>
  <c r="S48" i="64"/>
  <c r="S50" i="64"/>
  <c r="U19" i="65"/>
  <c r="S5" i="86"/>
  <c r="F16" i="79"/>
  <c r="W26" i="87"/>
  <c r="F74" i="79"/>
  <c r="S44" i="64"/>
  <c r="F13" i="79"/>
  <c r="U33" i="65"/>
  <c r="F33" i="79"/>
  <c r="U43" i="65"/>
  <c r="F38" i="79"/>
  <c r="U39" i="65"/>
  <c r="F36" i="79"/>
  <c r="U37" i="65"/>
  <c r="F35" i="79"/>
  <c r="U41" i="65"/>
  <c r="F37" i="79"/>
  <c r="U23" i="65"/>
  <c r="F31" i="79"/>
  <c r="U47" i="65"/>
  <c r="F40" i="79"/>
  <c r="U21" i="65"/>
  <c r="F30" i="79"/>
  <c r="U25" i="65"/>
  <c r="F32" i="79"/>
  <c r="U45" i="65"/>
  <c r="F39" i="79"/>
  <c r="B37" i="44"/>
  <c r="B18" i="44"/>
  <c r="B8" i="44"/>
  <c r="T11" i="64"/>
  <c r="X48" i="64"/>
  <c r="F14" i="79"/>
  <c r="F29" i="79"/>
  <c r="V47" i="65"/>
  <c r="V59" i="65"/>
  <c r="L32" i="24"/>
  <c r="AD59" i="65"/>
  <c r="F42" i="79"/>
  <c r="L34" i="24"/>
  <c r="L52" i="24"/>
  <c r="L53" i="24"/>
  <c r="L55" i="24"/>
  <c r="O55" i="24"/>
  <c r="L46" i="24"/>
  <c r="L47" i="24"/>
  <c r="L49" i="24"/>
  <c r="O49" i="24"/>
  <c r="L40" i="24"/>
  <c r="AC9" i="66"/>
  <c r="AB9" i="66"/>
  <c r="Y9" i="66"/>
  <c r="AC7" i="66"/>
  <c r="AB7" i="66"/>
  <c r="Y7" i="66"/>
  <c r="E17" i="85"/>
  <c r="L62" i="24"/>
  <c r="AD7" i="66"/>
  <c r="F43" i="79"/>
  <c r="I26" i="85"/>
  <c r="I25" i="85"/>
  <c r="I24" i="85"/>
  <c r="I23" i="85"/>
  <c r="I22" i="85"/>
  <c r="G26" i="85"/>
  <c r="G25" i="85"/>
  <c r="G24" i="85"/>
  <c r="G23" i="85"/>
  <c r="G22" i="85"/>
  <c r="D1" i="85"/>
  <c r="B9" i="84"/>
  <c r="G27" i="85"/>
  <c r="I27" i="85"/>
  <c r="AR41" i="40"/>
  <c r="AQ41" i="40"/>
  <c r="AR40" i="40"/>
  <c r="AQ40" i="40"/>
  <c r="AR39" i="40"/>
  <c r="AQ39" i="40"/>
  <c r="AR38" i="40"/>
  <c r="AQ38" i="40"/>
  <c r="AR37" i="40"/>
  <c r="AQ37" i="40"/>
  <c r="AR36" i="40"/>
  <c r="AQ36" i="40"/>
  <c r="AR35" i="40"/>
  <c r="AQ35" i="40"/>
  <c r="AR34" i="40"/>
  <c r="AQ34" i="40"/>
  <c r="AR33" i="40"/>
  <c r="AQ33" i="40"/>
  <c r="AR32" i="40"/>
  <c r="AQ32" i="40"/>
  <c r="AR31" i="40"/>
  <c r="AQ31" i="40"/>
  <c r="AR30" i="40"/>
  <c r="AQ30" i="40"/>
  <c r="AR29" i="40"/>
  <c r="AQ29" i="40"/>
  <c r="AR28" i="40"/>
  <c r="AQ28" i="40"/>
  <c r="AR27" i="40"/>
  <c r="AQ27" i="40"/>
  <c r="AR26" i="40"/>
  <c r="AQ26" i="40"/>
  <c r="AR25" i="40"/>
  <c r="AQ25" i="40"/>
  <c r="AR24" i="40"/>
  <c r="AQ24" i="40"/>
  <c r="AR23" i="40"/>
  <c r="AQ23" i="40"/>
  <c r="AR22" i="40"/>
  <c r="AQ22" i="40"/>
  <c r="AR21" i="40"/>
  <c r="AQ21" i="40"/>
  <c r="AR20" i="40"/>
  <c r="AQ20" i="40"/>
  <c r="AR19" i="40"/>
  <c r="AQ19" i="40"/>
  <c r="AR18" i="40"/>
  <c r="AQ18" i="40"/>
  <c r="AR17" i="40"/>
  <c r="AQ17" i="40"/>
  <c r="AR16" i="40"/>
  <c r="AQ16" i="40"/>
  <c r="AR15" i="40"/>
  <c r="AQ15" i="40"/>
  <c r="AR14" i="40"/>
  <c r="AQ14" i="40"/>
  <c r="AR13" i="40"/>
  <c r="AQ13" i="40"/>
  <c r="AR12" i="40"/>
  <c r="AQ12" i="40"/>
  <c r="AR11" i="40"/>
  <c r="AQ11" i="40"/>
  <c r="AR10" i="40"/>
  <c r="AQ10" i="40"/>
  <c r="AR9" i="40"/>
  <c r="AQ9" i="40"/>
  <c r="AR8" i="40"/>
  <c r="AQ8" i="40"/>
  <c r="AR7" i="40"/>
  <c r="AQ7" i="40"/>
  <c r="B11" i="84"/>
  <c r="B20" i="84"/>
  <c r="A20" i="84"/>
  <c r="B36" i="84"/>
  <c r="B10" i="83"/>
  <c r="B34" i="82"/>
  <c r="B33" i="82"/>
  <c r="B32" i="82"/>
  <c r="B31" i="82"/>
  <c r="B30" i="82"/>
  <c r="B29" i="82"/>
  <c r="B28" i="82"/>
  <c r="B27" i="82"/>
  <c r="B26" i="82"/>
  <c r="B25" i="82"/>
  <c r="B24" i="82"/>
  <c r="B23" i="82"/>
  <c r="B22" i="82"/>
  <c r="B21" i="82"/>
  <c r="B20" i="82"/>
  <c r="B19" i="82"/>
  <c r="B18" i="82"/>
  <c r="B17" i="82"/>
  <c r="B16" i="82"/>
  <c r="B15" i="82"/>
  <c r="B35" i="82"/>
  <c r="B55" i="82"/>
  <c r="B54" i="82"/>
  <c r="B52" i="82"/>
  <c r="B51" i="82"/>
  <c r="B50" i="82"/>
  <c r="B49" i="82"/>
  <c r="B48" i="82"/>
  <c r="B47" i="82"/>
  <c r="B46" i="82"/>
  <c r="B45" i="82"/>
  <c r="B44" i="82"/>
  <c r="B43" i="82"/>
  <c r="B42" i="82"/>
  <c r="B41" i="82"/>
  <c r="B40" i="82"/>
  <c r="B39" i="82"/>
  <c r="B38" i="82"/>
  <c r="B56" i="82"/>
  <c r="A48" i="82"/>
  <c r="B58" i="82"/>
  <c r="A56" i="82"/>
  <c r="A55" i="82"/>
  <c r="A54" i="82"/>
  <c r="A53" i="82"/>
  <c r="A52" i="82"/>
  <c r="A51" i="82"/>
  <c r="A50" i="82"/>
  <c r="A49" i="82"/>
  <c r="B10" i="82"/>
  <c r="C54" i="81"/>
  <c r="C49" i="81"/>
  <c r="C48" i="81"/>
  <c r="C42" i="81"/>
  <c r="C41" i="81"/>
  <c r="C32" i="81"/>
  <c r="C22" i="81"/>
  <c r="C18" i="81"/>
  <c r="C12" i="81"/>
  <c r="C7" i="81"/>
  <c r="C11" i="81"/>
  <c r="C34" i="81"/>
  <c r="C13" i="81"/>
  <c r="C50" i="81"/>
  <c r="C52" i="81"/>
  <c r="C44" i="81"/>
  <c r="C46" i="81"/>
  <c r="K22" i="41"/>
  <c r="V22" i="41"/>
  <c r="E13" i="85"/>
  <c r="G13" i="85"/>
  <c r="K21" i="41"/>
  <c r="V21" i="41"/>
  <c r="E12" i="85"/>
  <c r="G12" i="85"/>
  <c r="K20" i="41"/>
  <c r="V20" i="41"/>
  <c r="E11" i="85"/>
  <c r="G11" i="85"/>
  <c r="Y39" i="23"/>
  <c r="Y15" i="23"/>
  <c r="T39" i="23"/>
  <c r="T38" i="23"/>
  <c r="W14" i="46"/>
  <c r="W12" i="46"/>
  <c r="C9" i="81"/>
  <c r="AC17" i="64"/>
  <c r="AB16" i="64"/>
  <c r="AB15" i="64"/>
  <c r="AB14" i="64"/>
  <c r="G8" i="55"/>
  <c r="O35" i="67"/>
  <c r="G38" i="50"/>
  <c r="P38" i="50"/>
  <c r="E38" i="50"/>
  <c r="N38" i="50"/>
  <c r="G34" i="50"/>
  <c r="P34" i="50"/>
  <c r="E34" i="50"/>
  <c r="N34" i="50"/>
  <c r="G30" i="50"/>
  <c r="P30" i="50"/>
  <c r="E30" i="50"/>
  <c r="N30" i="50"/>
  <c r="G26" i="50"/>
  <c r="P26" i="50"/>
  <c r="E26" i="50"/>
  <c r="N26" i="50"/>
  <c r="G22" i="50"/>
  <c r="P22" i="50"/>
  <c r="E22" i="50"/>
  <c r="N22" i="50"/>
  <c r="G18" i="50"/>
  <c r="P18" i="50"/>
  <c r="E18" i="50"/>
  <c r="N18" i="50"/>
  <c r="G14" i="50"/>
  <c r="P14" i="50"/>
  <c r="E14" i="50"/>
  <c r="N14" i="50"/>
  <c r="G42" i="49"/>
  <c r="P42" i="49"/>
  <c r="E42" i="49"/>
  <c r="N42" i="49"/>
  <c r="G38" i="49"/>
  <c r="P38" i="49"/>
  <c r="E38" i="49"/>
  <c r="N38" i="49"/>
  <c r="G34" i="49"/>
  <c r="P34" i="49"/>
  <c r="E34" i="49"/>
  <c r="N34" i="49"/>
  <c r="G30" i="49"/>
  <c r="P30" i="49"/>
  <c r="E30" i="49"/>
  <c r="N30" i="49"/>
  <c r="G26" i="49"/>
  <c r="P26" i="49"/>
  <c r="E26" i="49"/>
  <c r="N26" i="49"/>
  <c r="G22" i="49"/>
  <c r="P22" i="49"/>
  <c r="E22" i="49"/>
  <c r="N22" i="49"/>
  <c r="G18" i="49"/>
  <c r="P18" i="49"/>
  <c r="E18" i="49"/>
  <c r="N18" i="49"/>
  <c r="G14" i="49"/>
  <c r="P14" i="49"/>
  <c r="E14" i="49"/>
  <c r="N14" i="49"/>
  <c r="AJ49" i="63"/>
  <c r="AJ46" i="63"/>
  <c r="AJ43" i="63"/>
  <c r="AJ40" i="63"/>
  <c r="AJ37" i="63"/>
  <c r="AJ34" i="63"/>
  <c r="AJ31" i="63"/>
  <c r="AJ28" i="63"/>
  <c r="AJ25" i="63"/>
  <c r="AJ22" i="63"/>
  <c r="AJ19" i="63"/>
  <c r="AJ16" i="63"/>
  <c r="AJ13" i="63"/>
  <c r="AJ10" i="63"/>
  <c r="AJ7" i="63"/>
  <c r="P29" i="67"/>
  <c r="R29" i="67"/>
  <c r="AP41" i="40"/>
  <c r="AO41" i="40"/>
  <c r="AN41" i="40"/>
  <c r="AP40" i="40"/>
  <c r="AO40" i="40"/>
  <c r="AN40" i="40"/>
  <c r="AP39" i="40"/>
  <c r="AO39" i="40"/>
  <c r="AN39" i="40"/>
  <c r="AP38" i="40"/>
  <c r="AO38" i="40"/>
  <c r="AN38" i="40"/>
  <c r="AP37" i="40"/>
  <c r="AO37" i="40"/>
  <c r="AN37" i="40"/>
  <c r="AP36" i="40"/>
  <c r="AO36" i="40"/>
  <c r="AN36" i="40"/>
  <c r="AP35" i="40"/>
  <c r="AO35" i="40"/>
  <c r="AN35" i="40"/>
  <c r="AP34" i="40"/>
  <c r="AO34" i="40"/>
  <c r="AN34" i="40"/>
  <c r="AP33" i="40"/>
  <c r="AO33" i="40"/>
  <c r="AN33" i="40"/>
  <c r="AP32" i="40"/>
  <c r="AO32" i="40"/>
  <c r="AN32" i="40"/>
  <c r="AP31" i="40"/>
  <c r="AO31" i="40"/>
  <c r="AN31" i="40"/>
  <c r="AP30" i="40"/>
  <c r="AO30" i="40"/>
  <c r="AN30" i="40"/>
  <c r="AP29" i="40"/>
  <c r="AO29" i="40"/>
  <c r="AN29" i="40"/>
  <c r="AP28" i="40"/>
  <c r="AO28" i="40"/>
  <c r="AN28" i="40"/>
  <c r="AP27" i="40"/>
  <c r="AO27" i="40"/>
  <c r="AN27" i="40"/>
  <c r="AP26" i="40"/>
  <c r="AO26" i="40"/>
  <c r="AN26" i="40"/>
  <c r="AP25" i="40"/>
  <c r="AO25" i="40"/>
  <c r="AN25" i="40"/>
  <c r="AP24" i="40"/>
  <c r="AO24" i="40"/>
  <c r="AN24" i="40"/>
  <c r="AP23" i="40"/>
  <c r="AO23" i="40"/>
  <c r="AN23" i="40"/>
  <c r="AP22" i="40"/>
  <c r="AO22" i="40"/>
  <c r="AN22" i="40"/>
  <c r="AP21" i="40"/>
  <c r="AO21" i="40"/>
  <c r="AN21" i="40"/>
  <c r="AP20" i="40"/>
  <c r="AO20" i="40"/>
  <c r="AN20" i="40"/>
  <c r="AP19" i="40"/>
  <c r="AO19" i="40"/>
  <c r="AN19" i="40"/>
  <c r="AP18" i="40"/>
  <c r="AO18" i="40"/>
  <c r="AN18" i="40"/>
  <c r="AP17" i="40"/>
  <c r="AO17" i="40"/>
  <c r="AN17" i="40"/>
  <c r="AP16" i="40"/>
  <c r="AO16" i="40"/>
  <c r="AN16" i="40"/>
  <c r="AP15" i="40"/>
  <c r="AO15" i="40"/>
  <c r="AN15" i="40"/>
  <c r="AP14" i="40"/>
  <c r="AO14" i="40"/>
  <c r="AN14" i="40"/>
  <c r="AP13" i="40"/>
  <c r="AO13" i="40"/>
  <c r="AN13" i="40"/>
  <c r="AP12" i="40"/>
  <c r="AO12" i="40"/>
  <c r="AN12" i="40"/>
  <c r="AP11" i="40"/>
  <c r="AO11" i="40"/>
  <c r="AN11" i="40"/>
  <c r="AP10" i="40"/>
  <c r="AO10" i="40"/>
  <c r="AN10" i="40"/>
  <c r="AP9" i="40"/>
  <c r="AO9" i="40"/>
  <c r="AN9" i="40"/>
  <c r="AP8" i="40"/>
  <c r="AO8" i="40"/>
  <c r="AN8" i="40"/>
  <c r="AP7" i="40"/>
  <c r="AO7" i="40"/>
  <c r="AN7" i="40"/>
  <c r="AP42" i="40"/>
  <c r="AQ42" i="40"/>
  <c r="AN42" i="40"/>
  <c r="AR42" i="40"/>
  <c r="AO42" i="40"/>
  <c r="AV41" i="40"/>
  <c r="AT41" i="40"/>
  <c r="AV40" i="40"/>
  <c r="AT40" i="40"/>
  <c r="AT39" i="40"/>
  <c r="AV38" i="40"/>
  <c r="AT38" i="40"/>
  <c r="AV37" i="40"/>
  <c r="AV36" i="40"/>
  <c r="AT36" i="40"/>
  <c r="AV35" i="40"/>
  <c r="AT35" i="40"/>
  <c r="AT34" i="40"/>
  <c r="AV33" i="40"/>
  <c r="AT33" i="40"/>
  <c r="AV32" i="40"/>
  <c r="AV31" i="40"/>
  <c r="AT31" i="40"/>
  <c r="AV30" i="40"/>
  <c r="AT30" i="40"/>
  <c r="AT29" i="40"/>
  <c r="AV28" i="40"/>
  <c r="AT28" i="40"/>
  <c r="AV27" i="40"/>
  <c r="AV26" i="40"/>
  <c r="AT26" i="40"/>
  <c r="AV25" i="40"/>
  <c r="AT25" i="40"/>
  <c r="AT24" i="40"/>
  <c r="AX23" i="40"/>
  <c r="AV23" i="40"/>
  <c r="AT23" i="40"/>
  <c r="AV22" i="40"/>
  <c r="AV21" i="40"/>
  <c r="AT21" i="40"/>
  <c r="AV20" i="40"/>
  <c r="AT20" i="40"/>
  <c r="AT19" i="40"/>
  <c r="AX18" i="40"/>
  <c r="AV18" i="40"/>
  <c r="AT18" i="40"/>
  <c r="AX17" i="40"/>
  <c r="AV16" i="40"/>
  <c r="AT16" i="40"/>
  <c r="AX15" i="40"/>
  <c r="AV15" i="40"/>
  <c r="AX14" i="40"/>
  <c r="AT14" i="40"/>
  <c r="AX13" i="40"/>
  <c r="AT13" i="40"/>
  <c r="AX12" i="40"/>
  <c r="AV12" i="40"/>
  <c r="AV11" i="40"/>
  <c r="AT11" i="40"/>
  <c r="AX10" i="40"/>
  <c r="AV10" i="40"/>
  <c r="AT10" i="40"/>
  <c r="AX9" i="40"/>
  <c r="AT9" i="40"/>
  <c r="AX8" i="40"/>
  <c r="AV8" i="40"/>
  <c r="AT8" i="40"/>
  <c r="AV7" i="40"/>
  <c r="AL41" i="40"/>
  <c r="AK41" i="40"/>
  <c r="AJ41" i="40"/>
  <c r="AI41" i="40"/>
  <c r="AH41" i="40"/>
  <c r="AL40" i="40"/>
  <c r="AK40" i="40"/>
  <c r="AJ40" i="40"/>
  <c r="AI40" i="40"/>
  <c r="AH40" i="40"/>
  <c r="AL39" i="40"/>
  <c r="AK39" i="40"/>
  <c r="AJ39" i="40"/>
  <c r="AI39" i="40"/>
  <c r="AH39" i="40"/>
  <c r="AL38" i="40"/>
  <c r="AK38" i="40"/>
  <c r="AJ38" i="40"/>
  <c r="AI38" i="40"/>
  <c r="AH38" i="40"/>
  <c r="AL37" i="40"/>
  <c r="AK37" i="40"/>
  <c r="AJ37" i="40"/>
  <c r="AI37" i="40"/>
  <c r="AH37" i="40"/>
  <c r="AL36" i="40"/>
  <c r="AK36" i="40"/>
  <c r="AJ36" i="40"/>
  <c r="AI36" i="40"/>
  <c r="AH36" i="40"/>
  <c r="AL35" i="40"/>
  <c r="AK35" i="40"/>
  <c r="AJ35" i="40"/>
  <c r="AI35" i="40"/>
  <c r="AH35" i="40"/>
  <c r="AL34" i="40"/>
  <c r="AK34" i="40"/>
  <c r="AJ34" i="40"/>
  <c r="AI34" i="40"/>
  <c r="AH34" i="40"/>
  <c r="AL33" i="40"/>
  <c r="AK33" i="40"/>
  <c r="AJ33" i="40"/>
  <c r="AI33" i="40"/>
  <c r="AH33" i="40"/>
  <c r="AL32" i="40"/>
  <c r="AK32" i="40"/>
  <c r="AJ32" i="40"/>
  <c r="AI32" i="40"/>
  <c r="AH32" i="40"/>
  <c r="AL31" i="40"/>
  <c r="AK31" i="40"/>
  <c r="AJ31" i="40"/>
  <c r="AI31" i="40"/>
  <c r="AH31" i="40"/>
  <c r="AL30" i="40"/>
  <c r="AK30" i="40"/>
  <c r="AJ30" i="40"/>
  <c r="AI30" i="40"/>
  <c r="AH30" i="40"/>
  <c r="AL29" i="40"/>
  <c r="AK29" i="40"/>
  <c r="AJ29" i="40"/>
  <c r="AI29" i="40"/>
  <c r="AH29" i="40"/>
  <c r="AL28" i="40"/>
  <c r="AK28" i="40"/>
  <c r="AJ28" i="40"/>
  <c r="AI28" i="40"/>
  <c r="AH28" i="40"/>
  <c r="AL27" i="40"/>
  <c r="AK27" i="40"/>
  <c r="AJ27" i="40"/>
  <c r="AI27" i="40"/>
  <c r="AH27" i="40"/>
  <c r="AL26" i="40"/>
  <c r="AK26" i="40"/>
  <c r="AJ26" i="40"/>
  <c r="AI26" i="40"/>
  <c r="AH26" i="40"/>
  <c r="AL25" i="40"/>
  <c r="AK25" i="40"/>
  <c r="AJ25" i="40"/>
  <c r="AI25" i="40"/>
  <c r="AH25" i="40"/>
  <c r="AL24" i="40"/>
  <c r="AK24" i="40"/>
  <c r="AJ24" i="40"/>
  <c r="AI24" i="40"/>
  <c r="AH24" i="40"/>
  <c r="AL23" i="40"/>
  <c r="AK23" i="40"/>
  <c r="AJ23" i="40"/>
  <c r="AI23" i="40"/>
  <c r="AH23" i="40"/>
  <c r="AL22" i="40"/>
  <c r="AK22" i="40"/>
  <c r="AJ22" i="40"/>
  <c r="AI22" i="40"/>
  <c r="AH22" i="40"/>
  <c r="AL21" i="40"/>
  <c r="AK21" i="40"/>
  <c r="AJ21" i="40"/>
  <c r="AI21" i="40"/>
  <c r="AH21" i="40"/>
  <c r="AL20" i="40"/>
  <c r="AK20" i="40"/>
  <c r="AJ20" i="40"/>
  <c r="AI20" i="40"/>
  <c r="AH20" i="40"/>
  <c r="AL19" i="40"/>
  <c r="AK19" i="40"/>
  <c r="AJ19" i="40"/>
  <c r="AI19" i="40"/>
  <c r="AH19" i="40"/>
  <c r="AL18" i="40"/>
  <c r="AK18" i="40"/>
  <c r="AJ18" i="40"/>
  <c r="AI18" i="40"/>
  <c r="AH18" i="40"/>
  <c r="AL17" i="40"/>
  <c r="AK17" i="40"/>
  <c r="AJ17" i="40"/>
  <c r="AI17" i="40"/>
  <c r="AH17" i="40"/>
  <c r="AL16" i="40"/>
  <c r="AK16" i="40"/>
  <c r="AJ16" i="40"/>
  <c r="AI16" i="40"/>
  <c r="AH16" i="40"/>
  <c r="AL15" i="40"/>
  <c r="AK15" i="40"/>
  <c r="AJ15" i="40"/>
  <c r="AI15" i="40"/>
  <c r="AH15" i="40"/>
  <c r="AL14" i="40"/>
  <c r="AK14" i="40"/>
  <c r="AJ14" i="40"/>
  <c r="AI14" i="40"/>
  <c r="AH14" i="40"/>
  <c r="AL13" i="40"/>
  <c r="AK13" i="40"/>
  <c r="AJ13" i="40"/>
  <c r="AI13" i="40"/>
  <c r="AH13" i="40"/>
  <c r="AL12" i="40"/>
  <c r="AK12" i="40"/>
  <c r="AJ12" i="40"/>
  <c r="AI12" i="40"/>
  <c r="AH12" i="40"/>
  <c r="AL11" i="40"/>
  <c r="AK11" i="40"/>
  <c r="AJ11" i="40"/>
  <c r="AI11" i="40"/>
  <c r="AH11" i="40"/>
  <c r="AL10" i="40"/>
  <c r="AK10" i="40"/>
  <c r="AJ10" i="40"/>
  <c r="AI10" i="40"/>
  <c r="AH10" i="40"/>
  <c r="AL9" i="40"/>
  <c r="AK9" i="40"/>
  <c r="AJ9" i="40"/>
  <c r="AI9" i="40"/>
  <c r="AH9" i="40"/>
  <c r="AL8" i="40"/>
  <c r="AK8" i="40"/>
  <c r="AJ8" i="40"/>
  <c r="AI8" i="40"/>
  <c r="AH8" i="40"/>
  <c r="AL7" i="40"/>
  <c r="AK7" i="40"/>
  <c r="AJ7" i="40"/>
  <c r="AI7" i="40"/>
  <c r="AH7" i="40"/>
  <c r="M35" i="43"/>
  <c r="AH42" i="40"/>
  <c r="AH46" i="40"/>
  <c r="AL42" i="40"/>
  <c r="AL46" i="40"/>
  <c r="D22" i="83"/>
  <c r="AI42" i="40"/>
  <c r="AI46" i="40"/>
  <c r="D19" i="83"/>
  <c r="AJ42" i="40"/>
  <c r="AJ46" i="40"/>
  <c r="AK42" i="40"/>
  <c r="AK46" i="40"/>
  <c r="D20" i="83"/>
  <c r="D18" i="83"/>
  <c r="AB36" i="1"/>
  <c r="E40" i="26"/>
  <c r="U21" i="38"/>
  <c r="T21" i="38"/>
  <c r="S21" i="38"/>
  <c r="U20" i="38"/>
  <c r="T20" i="38"/>
  <c r="S20" i="38"/>
  <c r="V17" i="38"/>
  <c r="U17" i="38"/>
  <c r="T17" i="38"/>
  <c r="S17" i="38"/>
  <c r="V16" i="38"/>
  <c r="U16" i="38"/>
  <c r="T16" i="38"/>
  <c r="S16" i="38"/>
  <c r="V13" i="38"/>
  <c r="U13" i="38"/>
  <c r="T13" i="38"/>
  <c r="S13" i="38"/>
  <c r="V12" i="38"/>
  <c r="U12" i="38"/>
  <c r="T12" i="38"/>
  <c r="S12" i="38"/>
  <c r="V9" i="38"/>
  <c r="U9" i="38"/>
  <c r="T9" i="38"/>
  <c r="S9" i="38"/>
  <c r="V8" i="38"/>
  <c r="U8" i="38"/>
  <c r="T8" i="38"/>
  <c r="S8" i="38"/>
  <c r="D30" i="83"/>
  <c r="B30" i="83"/>
  <c r="Y51" i="23"/>
  <c r="Y43" i="23"/>
  <c r="Y23" i="23"/>
  <c r="T51" i="23"/>
  <c r="T43" i="23"/>
  <c r="T23" i="23"/>
  <c r="T15" i="23"/>
  <c r="T50" i="23"/>
  <c r="T14" i="23"/>
  <c r="T42" i="23"/>
  <c r="T22" i="23"/>
  <c r="AH41" i="12"/>
  <c r="AH37" i="12"/>
  <c r="AD25" i="12"/>
  <c r="AF8" i="12"/>
  <c r="L33" i="12"/>
  <c r="AP56" i="77"/>
  <c r="AO56" i="77"/>
  <c r="AN56" i="77"/>
  <c r="AM56" i="77"/>
  <c r="AR58" i="77"/>
  <c r="AR56" i="77"/>
  <c r="AR54" i="77"/>
  <c r="AR52" i="77"/>
  <c r="AP25" i="77"/>
  <c r="AO25" i="77"/>
  <c r="AR25" i="77"/>
  <c r="AR23" i="77"/>
  <c r="AR21" i="77"/>
  <c r="AR19" i="77"/>
  <c r="AR17" i="77"/>
  <c r="AR15" i="77"/>
  <c r="AR13" i="77"/>
  <c r="AJ29" i="77"/>
  <c r="AI29" i="77"/>
  <c r="AH29" i="77"/>
  <c r="AG29" i="77"/>
  <c r="AF29" i="77"/>
  <c r="AE29" i="77"/>
  <c r="AJ27" i="77"/>
  <c r="AI27" i="77"/>
  <c r="AH27" i="77"/>
  <c r="AG27" i="77"/>
  <c r="AF27" i="77"/>
  <c r="AE27" i="77"/>
  <c r="AL29" i="77"/>
  <c r="AL27" i="77"/>
  <c r="AL25" i="77"/>
  <c r="AL23" i="77"/>
  <c r="AL21" i="77"/>
  <c r="AL19" i="77"/>
  <c r="AL17" i="77"/>
  <c r="AL15" i="77"/>
  <c r="AL13" i="77"/>
  <c r="AR7" i="77"/>
  <c r="T29" i="76"/>
  <c r="AD38" i="75"/>
  <c r="R7" i="67"/>
  <c r="O7" i="72"/>
  <c r="O11" i="72"/>
  <c r="O14" i="72"/>
  <c r="O17" i="72"/>
  <c r="O18" i="72"/>
  <c r="O20" i="72"/>
  <c r="O31" i="72"/>
  <c r="D29" i="60"/>
  <c r="K62" i="60"/>
  <c r="M62" i="60"/>
  <c r="D18" i="60"/>
  <c r="C71" i="81"/>
  <c r="D17" i="60"/>
  <c r="C70" i="81"/>
  <c r="F7" i="58"/>
  <c r="T20" i="58"/>
  <c r="X17" i="58"/>
  <c r="X15" i="58"/>
  <c r="H12" i="58"/>
  <c r="D12" i="60"/>
  <c r="E12" i="60"/>
  <c r="F12" i="60"/>
  <c r="G12" i="60"/>
  <c r="H12" i="60"/>
  <c r="I12" i="60"/>
  <c r="J12" i="60"/>
  <c r="K12" i="60"/>
  <c r="D45" i="60"/>
  <c r="E45" i="60"/>
  <c r="F45" i="60"/>
  <c r="G45" i="60"/>
  <c r="H45" i="60"/>
  <c r="I45" i="60"/>
  <c r="J45" i="60"/>
  <c r="E14" i="89"/>
  <c r="F14" i="89"/>
  <c r="G14" i="89"/>
  <c r="H14" i="89"/>
  <c r="I14" i="89"/>
  <c r="J14" i="89"/>
  <c r="K14" i="89"/>
  <c r="R30" i="57"/>
  <c r="R29" i="57"/>
  <c r="R28" i="57"/>
  <c r="R27" i="57"/>
  <c r="R26" i="57"/>
  <c r="R25" i="57"/>
  <c r="R24" i="57"/>
  <c r="R23" i="57"/>
  <c r="R19" i="57"/>
  <c r="R17" i="57"/>
  <c r="R16" i="57"/>
  <c r="R15" i="57"/>
  <c r="R14" i="57"/>
  <c r="R13" i="57"/>
  <c r="R12" i="57"/>
  <c r="R11" i="57"/>
  <c r="R10" i="57"/>
  <c r="R9" i="57"/>
  <c r="N30" i="57"/>
  <c r="N29" i="57"/>
  <c r="N28" i="57"/>
  <c r="N27" i="57"/>
  <c r="N26" i="57"/>
  <c r="N22" i="57"/>
  <c r="N21" i="57"/>
  <c r="N20" i="57"/>
  <c r="N19" i="57"/>
  <c r="N18" i="57"/>
  <c r="N17" i="57"/>
  <c r="N16" i="57"/>
  <c r="H31" i="57"/>
  <c r="D31" i="57"/>
  <c r="D23" i="57"/>
  <c r="H43" i="56"/>
  <c r="H42" i="56"/>
  <c r="H41" i="56"/>
  <c r="H40" i="56"/>
  <c r="H39" i="56"/>
  <c r="H38" i="56"/>
  <c r="H37" i="56"/>
  <c r="H36" i="56"/>
  <c r="H35" i="56"/>
  <c r="H34" i="56"/>
  <c r="H33" i="56"/>
  <c r="H32" i="56"/>
  <c r="H31" i="56"/>
  <c r="H30" i="56"/>
  <c r="H29" i="56"/>
  <c r="H28" i="56"/>
  <c r="H27" i="56"/>
  <c r="H26" i="56"/>
  <c r="H25" i="56"/>
  <c r="H24" i="56"/>
  <c r="H23" i="56"/>
  <c r="H22" i="56"/>
  <c r="H21" i="56"/>
  <c r="H20" i="56"/>
  <c r="H19" i="56"/>
  <c r="H18" i="56"/>
  <c r="H17" i="56"/>
  <c r="H16" i="56"/>
  <c r="H15" i="56"/>
  <c r="H14" i="56"/>
  <c r="H13" i="56"/>
  <c r="H12" i="56"/>
  <c r="H11" i="56"/>
  <c r="H10" i="56"/>
  <c r="H9" i="56"/>
  <c r="G43" i="56"/>
  <c r="G42" i="56"/>
  <c r="G41" i="56"/>
  <c r="G40" i="56"/>
  <c r="G39" i="56"/>
  <c r="G38" i="56"/>
  <c r="G37" i="56"/>
  <c r="G36" i="56"/>
  <c r="G35" i="56"/>
  <c r="G34" i="56"/>
  <c r="G33" i="56"/>
  <c r="G32" i="56"/>
  <c r="G31" i="56"/>
  <c r="G30" i="56"/>
  <c r="G29" i="56"/>
  <c r="G28" i="56"/>
  <c r="G27" i="56"/>
  <c r="G26" i="56"/>
  <c r="G25" i="56"/>
  <c r="G24" i="56"/>
  <c r="G23" i="56"/>
  <c r="G22" i="56"/>
  <c r="G21" i="56"/>
  <c r="G20" i="56"/>
  <c r="G19" i="56"/>
  <c r="G18" i="56"/>
  <c r="G17" i="56"/>
  <c r="G16" i="56"/>
  <c r="G15" i="56"/>
  <c r="G14" i="56"/>
  <c r="G13" i="56"/>
  <c r="G12" i="56"/>
  <c r="G11" i="56"/>
  <c r="G10" i="56"/>
  <c r="G9" i="56"/>
  <c r="E43" i="56"/>
  <c r="E42" i="56"/>
  <c r="E41" i="56"/>
  <c r="E40" i="56"/>
  <c r="E39" i="56"/>
  <c r="E38" i="56"/>
  <c r="E37" i="56"/>
  <c r="E36" i="56"/>
  <c r="E35" i="56"/>
  <c r="E34" i="56"/>
  <c r="E33" i="56"/>
  <c r="E32" i="56"/>
  <c r="E31" i="56"/>
  <c r="E30" i="56"/>
  <c r="E29" i="56"/>
  <c r="E28" i="56"/>
  <c r="E27" i="56"/>
  <c r="E26" i="56"/>
  <c r="E25" i="56"/>
  <c r="E24" i="56"/>
  <c r="E23" i="56"/>
  <c r="E22" i="56"/>
  <c r="E21" i="56"/>
  <c r="E20" i="56"/>
  <c r="E19" i="56"/>
  <c r="E18" i="56"/>
  <c r="E17" i="56"/>
  <c r="E16" i="56"/>
  <c r="E15" i="56"/>
  <c r="E14" i="56"/>
  <c r="E13" i="56"/>
  <c r="E12" i="56"/>
  <c r="E11" i="56"/>
  <c r="E10" i="56"/>
  <c r="E9" i="56"/>
  <c r="D43" i="56"/>
  <c r="D42" i="56"/>
  <c r="D41" i="56"/>
  <c r="D40" i="56"/>
  <c r="D39" i="56"/>
  <c r="D38" i="56"/>
  <c r="D37" i="56"/>
  <c r="D36" i="56"/>
  <c r="D35" i="56"/>
  <c r="D34" i="56"/>
  <c r="D33" i="56"/>
  <c r="D32" i="56"/>
  <c r="D31" i="56"/>
  <c r="D30" i="56"/>
  <c r="D29" i="56"/>
  <c r="D28" i="56"/>
  <c r="D27" i="56"/>
  <c r="D26" i="56"/>
  <c r="D25" i="56"/>
  <c r="D24" i="56"/>
  <c r="D23" i="56"/>
  <c r="D22" i="56"/>
  <c r="D21" i="56"/>
  <c r="D20" i="56"/>
  <c r="D19" i="56"/>
  <c r="D18" i="56"/>
  <c r="D17" i="56"/>
  <c r="D16" i="56"/>
  <c r="D15" i="56"/>
  <c r="D14" i="56"/>
  <c r="D13" i="56"/>
  <c r="D12" i="56"/>
  <c r="D11" i="56"/>
  <c r="D10" i="56"/>
  <c r="D9" i="56"/>
  <c r="C43" i="56"/>
  <c r="C42" i="56"/>
  <c r="C41" i="56"/>
  <c r="C40" i="56"/>
  <c r="C39" i="56"/>
  <c r="C38" i="56"/>
  <c r="C37" i="56"/>
  <c r="C36" i="56"/>
  <c r="C35" i="56"/>
  <c r="C34" i="56"/>
  <c r="C33" i="56"/>
  <c r="C32" i="56"/>
  <c r="C31" i="56"/>
  <c r="C30" i="56"/>
  <c r="C29" i="56"/>
  <c r="C28" i="56"/>
  <c r="C27" i="56"/>
  <c r="C26" i="56"/>
  <c r="C25" i="56"/>
  <c r="C24" i="56"/>
  <c r="C23" i="56"/>
  <c r="C22" i="56"/>
  <c r="C21" i="56"/>
  <c r="C20" i="56"/>
  <c r="C19" i="56"/>
  <c r="C18" i="56"/>
  <c r="C17" i="56"/>
  <c r="C16" i="56"/>
  <c r="C15" i="56"/>
  <c r="C14" i="56"/>
  <c r="C13" i="56"/>
  <c r="C12" i="56"/>
  <c r="C11" i="56"/>
  <c r="C10" i="56"/>
  <c r="C9" i="56"/>
  <c r="L48" i="56"/>
  <c r="K8" i="55"/>
  <c r="E42" i="55"/>
  <c r="E41" i="55"/>
  <c r="E40" i="55"/>
  <c r="E39" i="55"/>
  <c r="E38" i="55"/>
  <c r="E37" i="55"/>
  <c r="E36" i="55"/>
  <c r="E35" i="55"/>
  <c r="E34" i="55"/>
  <c r="E33" i="55"/>
  <c r="E32" i="55"/>
  <c r="E31" i="55"/>
  <c r="E30" i="55"/>
  <c r="E29" i="55"/>
  <c r="E28" i="55"/>
  <c r="E27" i="55"/>
  <c r="E26" i="55"/>
  <c r="E25" i="55"/>
  <c r="E24" i="55"/>
  <c r="E23" i="55"/>
  <c r="E22" i="55"/>
  <c r="E21" i="55"/>
  <c r="E20" i="55"/>
  <c r="E19" i="55"/>
  <c r="E18" i="55"/>
  <c r="E17" i="55"/>
  <c r="E16" i="55"/>
  <c r="E15" i="55"/>
  <c r="E14" i="55"/>
  <c r="E13" i="55"/>
  <c r="E12" i="55"/>
  <c r="E11" i="55"/>
  <c r="E10" i="55"/>
  <c r="E9" i="55"/>
  <c r="C42" i="55"/>
  <c r="H42" i="55"/>
  <c r="C41" i="55"/>
  <c r="H41" i="55"/>
  <c r="C40" i="55"/>
  <c r="H40" i="55"/>
  <c r="C39" i="55"/>
  <c r="H39" i="55"/>
  <c r="C38" i="55"/>
  <c r="H38" i="55"/>
  <c r="C37" i="55"/>
  <c r="H37" i="55"/>
  <c r="C36" i="55"/>
  <c r="H36" i="55"/>
  <c r="C35" i="55"/>
  <c r="H35" i="55"/>
  <c r="C34" i="55"/>
  <c r="H34" i="55"/>
  <c r="C33" i="55"/>
  <c r="H33" i="55"/>
  <c r="C32" i="55"/>
  <c r="H32" i="55"/>
  <c r="C31" i="55"/>
  <c r="H31" i="55"/>
  <c r="C30" i="55"/>
  <c r="H30" i="55"/>
  <c r="C29" i="55"/>
  <c r="H29" i="55"/>
  <c r="C28" i="55"/>
  <c r="H28" i="55"/>
  <c r="C27" i="55"/>
  <c r="H27" i="55"/>
  <c r="C26" i="55"/>
  <c r="H26" i="55"/>
  <c r="C25" i="55"/>
  <c r="H25" i="55"/>
  <c r="C24" i="55"/>
  <c r="H24" i="55"/>
  <c r="C23" i="55"/>
  <c r="H23" i="55"/>
  <c r="C22" i="55"/>
  <c r="H22" i="55"/>
  <c r="C21" i="55"/>
  <c r="H21" i="55"/>
  <c r="C20" i="55"/>
  <c r="H20" i="55"/>
  <c r="C19" i="55"/>
  <c r="H19" i="55"/>
  <c r="C18" i="55"/>
  <c r="H18" i="55"/>
  <c r="C17" i="55"/>
  <c r="H17" i="55"/>
  <c r="C16" i="55"/>
  <c r="H16" i="55"/>
  <c r="C15" i="55"/>
  <c r="H15" i="55"/>
  <c r="C14" i="55"/>
  <c r="H14" i="55"/>
  <c r="C13" i="55"/>
  <c r="H13" i="55"/>
  <c r="C12" i="55"/>
  <c r="H12" i="55"/>
  <c r="C11" i="55"/>
  <c r="C10" i="55"/>
  <c r="C9" i="55"/>
  <c r="C8" i="55"/>
  <c r="AB68" i="53"/>
  <c r="AB66" i="53"/>
  <c r="AB62" i="53"/>
  <c r="T54" i="53"/>
  <c r="T52" i="53"/>
  <c r="T50" i="53"/>
  <c r="T48" i="53"/>
  <c r="T46" i="53"/>
  <c r="T44" i="53"/>
  <c r="AD40" i="53"/>
  <c r="AG36" i="53"/>
  <c r="AC36" i="53"/>
  <c r="L14" i="89"/>
  <c r="E40" i="89"/>
  <c r="F40" i="89"/>
  <c r="G40" i="89"/>
  <c r="H40" i="89"/>
  <c r="I40" i="89"/>
  <c r="J40" i="89"/>
  <c r="K40" i="89"/>
  <c r="L40" i="89"/>
  <c r="F8" i="58"/>
  <c r="F10" i="58"/>
  <c r="N36" i="53"/>
  <c r="AE36" i="53"/>
  <c r="M36" i="53"/>
  <c r="AD36" i="53"/>
  <c r="K36" i="53"/>
  <c r="AB36" i="53"/>
  <c r="J36" i="53"/>
  <c r="AA36" i="53"/>
  <c r="H10" i="55"/>
  <c r="H9" i="55"/>
  <c r="H8" i="55"/>
  <c r="I8" i="55"/>
  <c r="H11" i="55"/>
  <c r="F13" i="58"/>
  <c r="D9" i="60"/>
  <c r="E9" i="60"/>
  <c r="F9" i="60"/>
  <c r="G9" i="60"/>
  <c r="H9" i="60"/>
  <c r="I9" i="60"/>
  <c r="J9" i="60"/>
  <c r="K9" i="60"/>
  <c r="D42" i="60"/>
  <c r="E42" i="60"/>
  <c r="F42" i="60"/>
  <c r="G42" i="60"/>
  <c r="H42" i="60"/>
  <c r="I42" i="60"/>
  <c r="J42" i="60"/>
  <c r="E11" i="89"/>
  <c r="F11" i="89"/>
  <c r="G11" i="89"/>
  <c r="H11" i="89"/>
  <c r="I11" i="89"/>
  <c r="J11" i="89"/>
  <c r="K11" i="89"/>
  <c r="N8" i="55"/>
  <c r="F18" i="100"/>
  <c r="L11" i="89"/>
  <c r="E37" i="89"/>
  <c r="F37" i="89"/>
  <c r="G37" i="89"/>
  <c r="H37" i="89"/>
  <c r="I37" i="89"/>
  <c r="J37" i="89"/>
  <c r="K37" i="89"/>
  <c r="L37" i="89"/>
  <c r="AT38" i="51"/>
  <c r="AT37" i="51"/>
  <c r="AT36" i="51"/>
  <c r="AT35" i="51"/>
  <c r="AT34" i="51"/>
  <c r="AQ40" i="51"/>
  <c r="AQ38" i="51"/>
  <c r="AV38" i="51"/>
  <c r="AQ37" i="51"/>
  <c r="AV37" i="51"/>
  <c r="AQ36" i="51"/>
  <c r="AQ35" i="51"/>
  <c r="AV35" i="51"/>
  <c r="AQ34" i="51"/>
  <c r="AV34" i="51"/>
  <c r="AP38" i="51"/>
  <c r="AP37" i="51"/>
  <c r="AP36" i="51"/>
  <c r="AP35" i="51"/>
  <c r="AP34" i="51"/>
  <c r="AO38" i="51"/>
  <c r="AO37" i="51"/>
  <c r="AO36" i="51"/>
  <c r="AO35" i="51"/>
  <c r="AO34" i="51"/>
  <c r="AL38" i="51"/>
  <c r="AL37" i="51"/>
  <c r="AL36" i="51"/>
  <c r="AL35" i="51"/>
  <c r="AL34" i="51"/>
  <c r="AF38" i="51"/>
  <c r="AF37" i="51"/>
  <c r="AF36" i="51"/>
  <c r="AF35" i="51"/>
  <c r="AF34" i="51"/>
  <c r="AT33" i="51"/>
  <c r="AQ33" i="51"/>
  <c r="AV33" i="51"/>
  <c r="AP33" i="51"/>
  <c r="AO33" i="51"/>
  <c r="AL33" i="51"/>
  <c r="AF33" i="51"/>
  <c r="AT27" i="51"/>
  <c r="AT25" i="51"/>
  <c r="AT20" i="51"/>
  <c r="AT19" i="51"/>
  <c r="AT18" i="51"/>
  <c r="AT17" i="51"/>
  <c r="AT16" i="51"/>
  <c r="AT15" i="51"/>
  <c r="AT14" i="51"/>
  <c r="AT13" i="51"/>
  <c r="AQ17" i="51"/>
  <c r="AQ16" i="51"/>
  <c r="AQ15" i="51"/>
  <c r="AQ14" i="51"/>
  <c r="AQ13" i="51"/>
  <c r="AO17" i="51"/>
  <c r="AO16" i="51"/>
  <c r="AO15" i="51"/>
  <c r="AO14" i="51"/>
  <c r="AO13" i="51"/>
  <c r="AT12" i="51"/>
  <c r="AQ12" i="51"/>
  <c r="AO12" i="51"/>
  <c r="AF15" i="51"/>
  <c r="AF14" i="51"/>
  <c r="AF13" i="51"/>
  <c r="AF12" i="51"/>
  <c r="R28" i="51"/>
  <c r="X23" i="51"/>
  <c r="X22" i="51"/>
  <c r="R50" i="51"/>
  <c r="H24" i="58"/>
  <c r="AT28" i="51"/>
  <c r="I8" i="104"/>
  <c r="I60" i="104"/>
  <c r="D21" i="60"/>
  <c r="R29" i="51"/>
  <c r="AV36" i="51"/>
  <c r="G25" i="48"/>
  <c r="G24" i="48"/>
  <c r="G23" i="48"/>
  <c r="G22" i="48"/>
  <c r="G21" i="48"/>
  <c r="G20" i="48"/>
  <c r="G19" i="48"/>
  <c r="G18" i="48"/>
  <c r="G17" i="48"/>
  <c r="G16" i="48"/>
  <c r="G15" i="48"/>
  <c r="G14" i="48"/>
  <c r="G13" i="48"/>
  <c r="G12" i="48"/>
  <c r="E25" i="48"/>
  <c r="E24" i="48"/>
  <c r="E23" i="48"/>
  <c r="E22" i="48"/>
  <c r="E21" i="48"/>
  <c r="E20" i="48"/>
  <c r="E19" i="48"/>
  <c r="E18" i="48"/>
  <c r="E17" i="48"/>
  <c r="E16" i="48"/>
  <c r="E15" i="48"/>
  <c r="E14" i="48"/>
  <c r="E13" i="48"/>
  <c r="E12" i="48"/>
  <c r="G11" i="48"/>
  <c r="E11" i="48"/>
  <c r="X28" i="46"/>
  <c r="X19" i="46"/>
  <c r="I42" i="46"/>
  <c r="H9" i="46"/>
  <c r="BB54" i="40"/>
  <c r="F9" i="46"/>
  <c r="I8" i="46"/>
  <c r="I7" i="46"/>
  <c r="P37" i="50"/>
  <c r="P36" i="50"/>
  <c r="N37" i="50"/>
  <c r="N36" i="50"/>
  <c r="P33" i="50"/>
  <c r="P32" i="50"/>
  <c r="N33" i="50"/>
  <c r="N32" i="50"/>
  <c r="P29" i="50"/>
  <c r="P28" i="50"/>
  <c r="N29" i="50"/>
  <c r="N28" i="50"/>
  <c r="P25" i="50"/>
  <c r="P24" i="50"/>
  <c r="N25" i="50"/>
  <c r="N24" i="50"/>
  <c r="P21" i="50"/>
  <c r="P20" i="50"/>
  <c r="N21" i="50"/>
  <c r="N20" i="50"/>
  <c r="P17" i="50"/>
  <c r="P16" i="50"/>
  <c r="N17" i="50"/>
  <c r="N16" i="50"/>
  <c r="P13" i="50"/>
  <c r="P12" i="50"/>
  <c r="N13" i="50"/>
  <c r="N12" i="50"/>
  <c r="I26" i="46"/>
  <c r="L39" i="24"/>
  <c r="X42" i="46"/>
  <c r="C63" i="81"/>
  <c r="C64" i="81"/>
  <c r="X8" i="46"/>
  <c r="AZ57" i="40"/>
  <c r="BA57" i="40"/>
  <c r="N22" i="64"/>
  <c r="AV50" i="51"/>
  <c r="I31" i="46"/>
  <c r="I44" i="46"/>
  <c r="I9" i="46"/>
  <c r="I27" i="46"/>
  <c r="X26" i="46"/>
  <c r="E7" i="50"/>
  <c r="L41" i="24"/>
  <c r="B52" i="84"/>
  <c r="I29" i="46"/>
  <c r="I35" i="46"/>
  <c r="B40" i="84"/>
  <c r="X9" i="46"/>
  <c r="L31" i="24"/>
  <c r="L33" i="24"/>
  <c r="L35" i="24"/>
  <c r="X22" i="64"/>
  <c r="Y22" i="64"/>
  <c r="X31" i="46"/>
  <c r="P41" i="49"/>
  <c r="P40" i="49"/>
  <c r="N41" i="49"/>
  <c r="N40" i="49"/>
  <c r="P37" i="49"/>
  <c r="P36" i="49"/>
  <c r="N37" i="49"/>
  <c r="N36" i="49"/>
  <c r="P33" i="49"/>
  <c r="P32" i="49"/>
  <c r="N33" i="49"/>
  <c r="N32" i="49"/>
  <c r="P29" i="49"/>
  <c r="P28" i="49"/>
  <c r="N29" i="49"/>
  <c r="N28" i="49"/>
  <c r="P25" i="49"/>
  <c r="P24" i="49"/>
  <c r="N25" i="49"/>
  <c r="N24" i="49"/>
  <c r="P21" i="49"/>
  <c r="P20" i="49"/>
  <c r="N21" i="49"/>
  <c r="N20" i="49"/>
  <c r="N17" i="49"/>
  <c r="N16" i="49"/>
  <c r="P17" i="49"/>
  <c r="P16" i="49"/>
  <c r="P13" i="49"/>
  <c r="P12" i="49"/>
  <c r="N13" i="49"/>
  <c r="N12" i="49"/>
  <c r="E7" i="49"/>
  <c r="Z29" i="46"/>
  <c r="I32" i="46"/>
  <c r="X32" i="46"/>
  <c r="O50" i="43"/>
  <c r="M50" i="43"/>
  <c r="AF41" i="40"/>
  <c r="AE41" i="40"/>
  <c r="AD41" i="40"/>
  <c r="AF40" i="40"/>
  <c r="AE40" i="40"/>
  <c r="AD40" i="40"/>
  <c r="AF39" i="40"/>
  <c r="AE39" i="40"/>
  <c r="AD39" i="40"/>
  <c r="AF38" i="40"/>
  <c r="AE38" i="40"/>
  <c r="AD38" i="40"/>
  <c r="AF37" i="40"/>
  <c r="AE37" i="40"/>
  <c r="AD37" i="40"/>
  <c r="AF36" i="40"/>
  <c r="AE36" i="40"/>
  <c r="AD36" i="40"/>
  <c r="AF35" i="40"/>
  <c r="AE35" i="40"/>
  <c r="AD35" i="40"/>
  <c r="AF34" i="40"/>
  <c r="AE34" i="40"/>
  <c r="AD34" i="40"/>
  <c r="AF33" i="40"/>
  <c r="AE33" i="40"/>
  <c r="AD33" i="40"/>
  <c r="AF32" i="40"/>
  <c r="AE32" i="40"/>
  <c r="AD32" i="40"/>
  <c r="AF31" i="40"/>
  <c r="AE31" i="40"/>
  <c r="AD31" i="40"/>
  <c r="AF30" i="40"/>
  <c r="AE30" i="40"/>
  <c r="AD30" i="40"/>
  <c r="AF29" i="40"/>
  <c r="AE29" i="40"/>
  <c r="AD29" i="40"/>
  <c r="AF28" i="40"/>
  <c r="AE28" i="40"/>
  <c r="AD28" i="40"/>
  <c r="AF27" i="40"/>
  <c r="AE27" i="40"/>
  <c r="AD27" i="40"/>
  <c r="AF26" i="40"/>
  <c r="AE26" i="40"/>
  <c r="AD26" i="40"/>
  <c r="AF25" i="40"/>
  <c r="AE25" i="40"/>
  <c r="AD25" i="40"/>
  <c r="AF24" i="40"/>
  <c r="AE24" i="40"/>
  <c r="AD24" i="40"/>
  <c r="AF23" i="40"/>
  <c r="AE23" i="40"/>
  <c r="AD23" i="40"/>
  <c r="AF22" i="40"/>
  <c r="AE22" i="40"/>
  <c r="AD22" i="40"/>
  <c r="AF21" i="40"/>
  <c r="AE21" i="40"/>
  <c r="AD21" i="40"/>
  <c r="AF20" i="40"/>
  <c r="AE20" i="40"/>
  <c r="AD20" i="40"/>
  <c r="AF19" i="40"/>
  <c r="AE19" i="40"/>
  <c r="AD19" i="40"/>
  <c r="AF18" i="40"/>
  <c r="AE18" i="40"/>
  <c r="AD18" i="40"/>
  <c r="AF17" i="40"/>
  <c r="AE17" i="40"/>
  <c r="AD17" i="40"/>
  <c r="AF16" i="40"/>
  <c r="AE16" i="40"/>
  <c r="AD16" i="40"/>
  <c r="AF15" i="40"/>
  <c r="AE15" i="40"/>
  <c r="AD15" i="40"/>
  <c r="AF14" i="40"/>
  <c r="AE14" i="40"/>
  <c r="AD14" i="40"/>
  <c r="AF13" i="40"/>
  <c r="AE13" i="40"/>
  <c r="AD13" i="40"/>
  <c r="AF12" i="40"/>
  <c r="AE12" i="40"/>
  <c r="AD12" i="40"/>
  <c r="AF11" i="40"/>
  <c r="AE11" i="40"/>
  <c r="AD11" i="40"/>
  <c r="AF10" i="40"/>
  <c r="AE10" i="40"/>
  <c r="AD10" i="40"/>
  <c r="AF9" i="40"/>
  <c r="AE9" i="40"/>
  <c r="AD9" i="40"/>
  <c r="AF8" i="40"/>
  <c r="AE8" i="40"/>
  <c r="AD8" i="40"/>
  <c r="AE7" i="40"/>
  <c r="AF7" i="40"/>
  <c r="AD7" i="40"/>
  <c r="AA41" i="40"/>
  <c r="AA39" i="40"/>
  <c r="AA37" i="40"/>
  <c r="AA36" i="40"/>
  <c r="AA35" i="40"/>
  <c r="AA33" i="40"/>
  <c r="AA32" i="40"/>
  <c r="AA31" i="40"/>
  <c r="AA29" i="40"/>
  <c r="AA28" i="40"/>
  <c r="AA27" i="40"/>
  <c r="AA25" i="40"/>
  <c r="AA24" i="40"/>
  <c r="AA23" i="40"/>
  <c r="AA21" i="40"/>
  <c r="AA20" i="40"/>
  <c r="AA19" i="40"/>
  <c r="AA17" i="40"/>
  <c r="AA16" i="40"/>
  <c r="AA15" i="40"/>
  <c r="AA13" i="40"/>
  <c r="AA12" i="40"/>
  <c r="AA7" i="40"/>
  <c r="Y41" i="40"/>
  <c r="X41" i="40"/>
  <c r="Y40" i="40"/>
  <c r="X40" i="40"/>
  <c r="Y39" i="40"/>
  <c r="X39" i="40"/>
  <c r="Y38" i="40"/>
  <c r="X38" i="40"/>
  <c r="Y37" i="40"/>
  <c r="X37" i="40"/>
  <c r="Y36" i="40"/>
  <c r="X36" i="40"/>
  <c r="Y35" i="40"/>
  <c r="X35" i="40"/>
  <c r="Y34" i="40"/>
  <c r="X34" i="40"/>
  <c r="Y33" i="40"/>
  <c r="X33" i="40"/>
  <c r="Y32" i="40"/>
  <c r="X32" i="40"/>
  <c r="Y31" i="40"/>
  <c r="X31" i="40"/>
  <c r="Y30" i="40"/>
  <c r="X30" i="40"/>
  <c r="Y29" i="40"/>
  <c r="X29" i="40"/>
  <c r="Y28" i="40"/>
  <c r="X28" i="40"/>
  <c r="Y27" i="40"/>
  <c r="X27" i="40"/>
  <c r="Y26" i="40"/>
  <c r="X26" i="40"/>
  <c r="Y25" i="40"/>
  <c r="X25" i="40"/>
  <c r="Y24" i="40"/>
  <c r="X24" i="40"/>
  <c r="Y23" i="40"/>
  <c r="X23" i="40"/>
  <c r="Y22" i="40"/>
  <c r="X22" i="40"/>
  <c r="Y21" i="40"/>
  <c r="X21" i="40"/>
  <c r="Y20" i="40"/>
  <c r="X20" i="40"/>
  <c r="Y19" i="40"/>
  <c r="X19" i="40"/>
  <c r="Y18" i="40"/>
  <c r="X18" i="40"/>
  <c r="Y17" i="40"/>
  <c r="X17" i="40"/>
  <c r="Y16" i="40"/>
  <c r="X16" i="40"/>
  <c r="Y15" i="40"/>
  <c r="X15" i="40"/>
  <c r="Y14" i="40"/>
  <c r="X14" i="40"/>
  <c r="Y13" i="40"/>
  <c r="X13" i="40"/>
  <c r="Y12" i="40"/>
  <c r="X12" i="40"/>
  <c r="Y11" i="40"/>
  <c r="X11" i="40"/>
  <c r="Y10" i="40"/>
  <c r="X10" i="40"/>
  <c r="Y9" i="40"/>
  <c r="X9" i="40"/>
  <c r="Y8" i="40"/>
  <c r="X8" i="40"/>
  <c r="Y7" i="40"/>
  <c r="X7" i="40"/>
  <c r="O32" i="43"/>
  <c r="O31" i="43"/>
  <c r="O30" i="43"/>
  <c r="O28" i="43"/>
  <c r="M32" i="43"/>
  <c r="M31" i="43"/>
  <c r="M30" i="43"/>
  <c r="M28" i="43"/>
  <c r="A51" i="43"/>
  <c r="A50" i="43"/>
  <c r="A49" i="43"/>
  <c r="A43" i="43"/>
  <c r="A42" i="43"/>
  <c r="A41" i="43"/>
  <c r="F33" i="43"/>
  <c r="D33" i="43"/>
  <c r="D19" i="43"/>
  <c r="H41" i="41"/>
  <c r="H42" i="41"/>
  <c r="D41" i="41"/>
  <c r="O31" i="42"/>
  <c r="O30" i="42"/>
  <c r="O29" i="42"/>
  <c r="O28" i="42"/>
  <c r="O27" i="42"/>
  <c r="O26" i="42"/>
  <c r="O25" i="42"/>
  <c r="O24" i="42"/>
  <c r="O23" i="42"/>
  <c r="O22" i="42"/>
  <c r="O21" i="42"/>
  <c r="H7" i="42"/>
  <c r="F7" i="42"/>
  <c r="D7" i="42"/>
  <c r="H7" i="41"/>
  <c r="F7" i="41"/>
  <c r="D7" i="41"/>
  <c r="V40" i="62"/>
  <c r="V38" i="62"/>
  <c r="V36" i="62"/>
  <c r="V34" i="62"/>
  <c r="V32" i="62"/>
  <c r="V30" i="62"/>
  <c r="V28" i="62"/>
  <c r="V26" i="62"/>
  <c r="V24" i="62"/>
  <c r="V22" i="62"/>
  <c r="V20" i="62"/>
  <c r="V18" i="62"/>
  <c r="V16" i="62"/>
  <c r="V14" i="62"/>
  <c r="V12" i="62"/>
  <c r="T40" i="62"/>
  <c r="T38" i="62"/>
  <c r="T36" i="62"/>
  <c r="T34" i="62"/>
  <c r="T32" i="62"/>
  <c r="T30" i="62"/>
  <c r="T28" i="62"/>
  <c r="T26" i="62"/>
  <c r="T24" i="62"/>
  <c r="T22" i="62"/>
  <c r="T20" i="62"/>
  <c r="T18" i="62"/>
  <c r="T16" i="62"/>
  <c r="T14" i="62"/>
  <c r="Q53" i="41"/>
  <c r="C19" i="81"/>
  <c r="C36" i="81"/>
  <c r="S53" i="41"/>
  <c r="Y42" i="40"/>
  <c r="E50" i="40"/>
  <c r="F24" i="43"/>
  <c r="F34" i="43"/>
  <c r="F36" i="43"/>
  <c r="F41" i="43"/>
  <c r="I9" i="85"/>
  <c r="D42" i="41"/>
  <c r="F41" i="41"/>
  <c r="S41" i="41"/>
  <c r="S49" i="41"/>
  <c r="S50" i="41"/>
  <c r="K24" i="42"/>
  <c r="Q41" i="41"/>
  <c r="Q49" i="41"/>
  <c r="U41" i="41"/>
  <c r="U49" i="41"/>
  <c r="U50" i="41"/>
  <c r="K26" i="42"/>
  <c r="T12" i="62"/>
  <c r="K42" i="62"/>
  <c r="I42" i="62"/>
  <c r="G42" i="62"/>
  <c r="U41" i="40"/>
  <c r="U40" i="40"/>
  <c r="U39" i="40"/>
  <c r="U38" i="40"/>
  <c r="U37" i="40"/>
  <c r="U36" i="40"/>
  <c r="U35" i="40"/>
  <c r="U34" i="40"/>
  <c r="U33" i="40"/>
  <c r="U32" i="40"/>
  <c r="U31" i="40"/>
  <c r="U30" i="40"/>
  <c r="U29" i="40"/>
  <c r="U28" i="40"/>
  <c r="U27" i="40"/>
  <c r="U26" i="40"/>
  <c r="U25" i="40"/>
  <c r="U24" i="40"/>
  <c r="U23" i="40"/>
  <c r="U22" i="40"/>
  <c r="U21" i="40"/>
  <c r="U20" i="40"/>
  <c r="U19" i="40"/>
  <c r="U18" i="40"/>
  <c r="U17" i="40"/>
  <c r="U16" i="40"/>
  <c r="U15" i="40"/>
  <c r="U14" i="40"/>
  <c r="U13" i="40"/>
  <c r="U12" i="40"/>
  <c r="U11" i="40"/>
  <c r="U10" i="40"/>
  <c r="U9" i="40"/>
  <c r="U8" i="40"/>
  <c r="U7" i="40"/>
  <c r="T41" i="40"/>
  <c r="G52" i="100"/>
  <c r="T40" i="40"/>
  <c r="G51" i="100"/>
  <c r="T39" i="40"/>
  <c r="G50" i="100"/>
  <c r="T38" i="40"/>
  <c r="G49" i="100"/>
  <c r="T37" i="40"/>
  <c r="G48" i="100"/>
  <c r="T36" i="40"/>
  <c r="G47" i="100"/>
  <c r="T35" i="40"/>
  <c r="G46" i="100"/>
  <c r="T34" i="40"/>
  <c r="G45" i="100"/>
  <c r="T33" i="40"/>
  <c r="G44" i="100"/>
  <c r="T32" i="40"/>
  <c r="G43" i="100"/>
  <c r="T31" i="40"/>
  <c r="G42" i="100"/>
  <c r="T30" i="40"/>
  <c r="G41" i="100"/>
  <c r="T29" i="40"/>
  <c r="G40" i="100"/>
  <c r="T28" i="40"/>
  <c r="G39" i="100"/>
  <c r="T27" i="40"/>
  <c r="G38" i="100"/>
  <c r="T26" i="40"/>
  <c r="G37" i="100"/>
  <c r="T25" i="40"/>
  <c r="G36" i="100"/>
  <c r="T24" i="40"/>
  <c r="G35" i="100"/>
  <c r="T23" i="40"/>
  <c r="G34" i="100"/>
  <c r="T22" i="40"/>
  <c r="G33" i="100"/>
  <c r="T21" i="40"/>
  <c r="G32" i="100"/>
  <c r="T20" i="40"/>
  <c r="G31" i="100"/>
  <c r="T19" i="40"/>
  <c r="G30" i="100"/>
  <c r="T18" i="40"/>
  <c r="G29" i="100"/>
  <c r="T17" i="40"/>
  <c r="G28" i="100"/>
  <c r="T16" i="40"/>
  <c r="G27" i="100"/>
  <c r="T15" i="40"/>
  <c r="G26" i="100"/>
  <c r="T14" i="40"/>
  <c r="G25" i="100"/>
  <c r="T13" i="40"/>
  <c r="G24" i="100"/>
  <c r="T12" i="40"/>
  <c r="G23" i="100"/>
  <c r="T11" i="40"/>
  <c r="G22" i="100"/>
  <c r="T10" i="40"/>
  <c r="G21" i="100"/>
  <c r="T9" i="40"/>
  <c r="G20" i="100"/>
  <c r="T8" i="40"/>
  <c r="G19" i="100"/>
  <c r="T7" i="40"/>
  <c r="R41" i="40"/>
  <c r="H44" i="69"/>
  <c r="R40" i="40"/>
  <c r="H43" i="69"/>
  <c r="R39" i="40"/>
  <c r="H42" i="69"/>
  <c r="R38" i="40"/>
  <c r="H41" i="69"/>
  <c r="R37" i="40"/>
  <c r="H40" i="69"/>
  <c r="R36" i="40"/>
  <c r="H39" i="69"/>
  <c r="R35" i="40"/>
  <c r="H38" i="69"/>
  <c r="R34" i="40"/>
  <c r="H37" i="69"/>
  <c r="R33" i="40"/>
  <c r="H36" i="69"/>
  <c r="R32" i="40"/>
  <c r="H35" i="69"/>
  <c r="R31" i="40"/>
  <c r="H34" i="69"/>
  <c r="R30" i="40"/>
  <c r="H33" i="69"/>
  <c r="R29" i="40"/>
  <c r="H32" i="69"/>
  <c r="R28" i="40"/>
  <c r="H31" i="69"/>
  <c r="R27" i="40"/>
  <c r="H30" i="69"/>
  <c r="R26" i="40"/>
  <c r="H29" i="69"/>
  <c r="R25" i="40"/>
  <c r="H28" i="69"/>
  <c r="R24" i="40"/>
  <c r="H27" i="69"/>
  <c r="R23" i="40"/>
  <c r="H26" i="69"/>
  <c r="R22" i="40"/>
  <c r="H25" i="69"/>
  <c r="R21" i="40"/>
  <c r="H24" i="69"/>
  <c r="R20" i="40"/>
  <c r="H23" i="69"/>
  <c r="R19" i="40"/>
  <c r="H22" i="69"/>
  <c r="R18" i="40"/>
  <c r="H21" i="69"/>
  <c r="R17" i="40"/>
  <c r="H20" i="69"/>
  <c r="R16" i="40"/>
  <c r="H19" i="69"/>
  <c r="R15" i="40"/>
  <c r="H18" i="69"/>
  <c r="R14" i="40"/>
  <c r="H17" i="69"/>
  <c r="R13" i="40"/>
  <c r="H16" i="69"/>
  <c r="R12" i="40"/>
  <c r="H15" i="69"/>
  <c r="R11" i="40"/>
  <c r="H14" i="69"/>
  <c r="R10" i="40"/>
  <c r="H13" i="69"/>
  <c r="R9" i="40"/>
  <c r="H12" i="69"/>
  <c r="R8" i="40"/>
  <c r="H11" i="69"/>
  <c r="R7" i="40"/>
  <c r="H10" i="69"/>
  <c r="O41" i="40"/>
  <c r="F44" i="69"/>
  <c r="O40" i="40"/>
  <c r="F43" i="69"/>
  <c r="O39" i="40"/>
  <c r="F42" i="69"/>
  <c r="O38" i="40"/>
  <c r="F41" i="69"/>
  <c r="O37" i="40"/>
  <c r="F40" i="69"/>
  <c r="O36" i="40"/>
  <c r="F39" i="69"/>
  <c r="O35" i="40"/>
  <c r="F38" i="69"/>
  <c r="O34" i="40"/>
  <c r="F37" i="69"/>
  <c r="O33" i="40"/>
  <c r="F36" i="69"/>
  <c r="O32" i="40"/>
  <c r="F35" i="69"/>
  <c r="O31" i="40"/>
  <c r="F34" i="69"/>
  <c r="O30" i="40"/>
  <c r="F33" i="69"/>
  <c r="O29" i="40"/>
  <c r="F32" i="69"/>
  <c r="O28" i="40"/>
  <c r="F31" i="69"/>
  <c r="O27" i="40"/>
  <c r="F30" i="69"/>
  <c r="O26" i="40"/>
  <c r="F29" i="69"/>
  <c r="O25" i="40"/>
  <c r="F28" i="69"/>
  <c r="O24" i="40"/>
  <c r="O23" i="40"/>
  <c r="O22" i="40"/>
  <c r="O21" i="40"/>
  <c r="O20" i="40"/>
  <c r="O19" i="40"/>
  <c r="O18" i="40"/>
  <c r="O17" i="40"/>
  <c r="O16" i="40"/>
  <c r="O15" i="40"/>
  <c r="O14" i="40"/>
  <c r="O13" i="40"/>
  <c r="O12" i="40"/>
  <c r="O11" i="40"/>
  <c r="O10" i="40"/>
  <c r="O9" i="40"/>
  <c r="O8" i="40"/>
  <c r="O7" i="40"/>
  <c r="N41" i="40"/>
  <c r="E44" i="69"/>
  <c r="Y44" i="69"/>
  <c r="N40" i="40"/>
  <c r="E43" i="69"/>
  <c r="Y43" i="69"/>
  <c r="N39" i="40"/>
  <c r="E42" i="69"/>
  <c r="Y42" i="69"/>
  <c r="N38" i="40"/>
  <c r="E41" i="69"/>
  <c r="Y41" i="69"/>
  <c r="N37" i="40"/>
  <c r="E40" i="69"/>
  <c r="Y40" i="69"/>
  <c r="N36" i="40"/>
  <c r="E39" i="69"/>
  <c r="Y39" i="69"/>
  <c r="N35" i="40"/>
  <c r="E38" i="69"/>
  <c r="Y38" i="69"/>
  <c r="N34" i="40"/>
  <c r="E37" i="69"/>
  <c r="Y37" i="69"/>
  <c r="N33" i="40"/>
  <c r="E36" i="69"/>
  <c r="Y36" i="69"/>
  <c r="N32" i="40"/>
  <c r="E35" i="69"/>
  <c r="Y35" i="69"/>
  <c r="N31" i="40"/>
  <c r="E34" i="69"/>
  <c r="Y34" i="69"/>
  <c r="N30" i="40"/>
  <c r="E33" i="69"/>
  <c r="Y33" i="69"/>
  <c r="N29" i="40"/>
  <c r="E32" i="69"/>
  <c r="Y32" i="69"/>
  <c r="N28" i="40"/>
  <c r="E31" i="69"/>
  <c r="Y31" i="69"/>
  <c r="N27" i="40"/>
  <c r="E30" i="69"/>
  <c r="Y30" i="69"/>
  <c r="N26" i="40"/>
  <c r="E29" i="69"/>
  <c r="Y29" i="69"/>
  <c r="N25" i="40"/>
  <c r="E28" i="69"/>
  <c r="Y28" i="69"/>
  <c r="N24" i="40"/>
  <c r="N23" i="40"/>
  <c r="N22" i="40"/>
  <c r="N21" i="40"/>
  <c r="N20" i="40"/>
  <c r="N19" i="40"/>
  <c r="N18" i="40"/>
  <c r="N17" i="40"/>
  <c r="N16" i="40"/>
  <c r="N15" i="40"/>
  <c r="N14" i="40"/>
  <c r="N13" i="40"/>
  <c r="N12" i="40"/>
  <c r="N11" i="40"/>
  <c r="N10" i="40"/>
  <c r="N9" i="40"/>
  <c r="N8" i="40"/>
  <c r="N7" i="40"/>
  <c r="E10" i="69"/>
  <c r="Y10" i="69"/>
  <c r="C42" i="40"/>
  <c r="H41" i="40"/>
  <c r="H40" i="40"/>
  <c r="AU40" i="40"/>
  <c r="H39" i="40"/>
  <c r="AW39" i="40"/>
  <c r="H38" i="40"/>
  <c r="AW38" i="40"/>
  <c r="H37" i="40"/>
  <c r="AW37" i="40"/>
  <c r="H36" i="40"/>
  <c r="H35" i="40"/>
  <c r="H34" i="40"/>
  <c r="H33" i="40"/>
  <c r="H32" i="40"/>
  <c r="AW32" i="40"/>
  <c r="H31" i="40"/>
  <c r="H30" i="40"/>
  <c r="AU30" i="40"/>
  <c r="H29" i="40"/>
  <c r="AW29" i="40"/>
  <c r="H28" i="40"/>
  <c r="H27" i="40"/>
  <c r="AW27" i="40"/>
  <c r="H26" i="40"/>
  <c r="AW26" i="40"/>
  <c r="H25" i="40"/>
  <c r="H24" i="40"/>
  <c r="AW24" i="40"/>
  <c r="H23" i="40"/>
  <c r="AW23" i="40"/>
  <c r="H22" i="40"/>
  <c r="H21" i="40"/>
  <c r="H20" i="40"/>
  <c r="H19" i="40"/>
  <c r="AW19" i="40"/>
  <c r="H18" i="40"/>
  <c r="H17" i="40"/>
  <c r="AW17" i="40"/>
  <c r="H16" i="40"/>
  <c r="H15" i="40"/>
  <c r="H14" i="40"/>
  <c r="AU14" i="40"/>
  <c r="H13" i="40"/>
  <c r="H12" i="40"/>
  <c r="H11" i="40"/>
  <c r="AW11" i="40"/>
  <c r="H10" i="40"/>
  <c r="H9" i="40"/>
  <c r="AW9" i="40"/>
  <c r="H8" i="40"/>
  <c r="H7" i="40"/>
  <c r="AW7" i="40"/>
  <c r="AL49" i="63"/>
  <c r="AD49" i="63"/>
  <c r="X49" i="63"/>
  <c r="AL46" i="63"/>
  <c r="AD46" i="63"/>
  <c r="X46" i="63"/>
  <c r="AL43" i="63"/>
  <c r="AD43" i="63"/>
  <c r="X43" i="63"/>
  <c r="AL40" i="63"/>
  <c r="AD40" i="63"/>
  <c r="X40" i="63"/>
  <c r="AL37" i="63"/>
  <c r="AD37" i="63"/>
  <c r="X37" i="63"/>
  <c r="AL34" i="63"/>
  <c r="AD34" i="63"/>
  <c r="X34" i="63"/>
  <c r="AL31" i="63"/>
  <c r="AD31" i="63"/>
  <c r="X31" i="63"/>
  <c r="AL28" i="63"/>
  <c r="AD28" i="63"/>
  <c r="X28" i="63"/>
  <c r="AL25" i="63"/>
  <c r="AD25" i="63"/>
  <c r="X25" i="63"/>
  <c r="AL22" i="63"/>
  <c r="AD22" i="63"/>
  <c r="X22" i="63"/>
  <c r="AL19" i="63"/>
  <c r="AD19" i="63"/>
  <c r="X19" i="63"/>
  <c r="AL16" i="63"/>
  <c r="AD16" i="63"/>
  <c r="X16" i="63"/>
  <c r="AL13" i="63"/>
  <c r="AD13" i="63"/>
  <c r="X13" i="63"/>
  <c r="AL10" i="63"/>
  <c r="AD10" i="63"/>
  <c r="X10" i="63"/>
  <c r="AL7" i="63"/>
  <c r="AD7" i="63"/>
  <c r="X7" i="63"/>
  <c r="Y41" i="1"/>
  <c r="Y39" i="1"/>
  <c r="AN36" i="1"/>
  <c r="AI36" i="1"/>
  <c r="AD36" i="1"/>
  <c r="Y36" i="1"/>
  <c r="AL33" i="1"/>
  <c r="AI33" i="1"/>
  <c r="AF33" i="1"/>
  <c r="Y33" i="1"/>
  <c r="AK32" i="1"/>
  <c r="Y32" i="1"/>
  <c r="AN16" i="1"/>
  <c r="AI16" i="1"/>
  <c r="AF16" i="1"/>
  <c r="Y16" i="1"/>
  <c r="J53" i="1"/>
  <c r="G82" i="79"/>
  <c r="AU31" i="40"/>
  <c r="AW31" i="40"/>
  <c r="AU8" i="40"/>
  <c r="AW8" i="40"/>
  <c r="AU16" i="40"/>
  <c r="AW16" i="40"/>
  <c r="AX28" i="40"/>
  <c r="AW28" i="40"/>
  <c r="AU36" i="40"/>
  <c r="AW36" i="40"/>
  <c r="AV13" i="40"/>
  <c r="AW13" i="40"/>
  <c r="AU21" i="40"/>
  <c r="AW21" i="40"/>
  <c r="AX33" i="40"/>
  <c r="AW33" i="40"/>
  <c r="AU41" i="40"/>
  <c r="AW41" i="40"/>
  <c r="AU22" i="40"/>
  <c r="AW22" i="40"/>
  <c r="AU34" i="40"/>
  <c r="AW34" i="40"/>
  <c r="AW12" i="40"/>
  <c r="AU12" i="40"/>
  <c r="AA11" i="40"/>
  <c r="AU11" i="40"/>
  <c r="AT15" i="40"/>
  <c r="AU15" i="40"/>
  <c r="AX19" i="40"/>
  <c r="AU19" i="40"/>
  <c r="AX27" i="40"/>
  <c r="AU27" i="40"/>
  <c r="AX35" i="40"/>
  <c r="AU35" i="40"/>
  <c r="AX39" i="40"/>
  <c r="AU39" i="40"/>
  <c r="AX20" i="40"/>
  <c r="AU20" i="40"/>
  <c r="AX24" i="40"/>
  <c r="AU24" i="40"/>
  <c r="AX32" i="40"/>
  <c r="AU32" i="40"/>
  <c r="AV17" i="40"/>
  <c r="AU17" i="40"/>
  <c r="AX25" i="40"/>
  <c r="AU25" i="40"/>
  <c r="AX29" i="40"/>
  <c r="AU29" i="40"/>
  <c r="AX37" i="40"/>
  <c r="AU37" i="40"/>
  <c r="AA26" i="40"/>
  <c r="AU26" i="40"/>
  <c r="V30" i="69" a="1"/>
  <c r="V30" i="69"/>
  <c r="U30" i="69" a="1"/>
  <c r="U30" i="69"/>
  <c r="U38" i="69" a="1"/>
  <c r="U38" i="69"/>
  <c r="V38" i="69" a="1"/>
  <c r="V38" i="69"/>
  <c r="V35" i="69" a="1"/>
  <c r="V35" i="69"/>
  <c r="U35" i="69" a="1"/>
  <c r="U35" i="69"/>
  <c r="V43" i="69" a="1"/>
  <c r="V43" i="69"/>
  <c r="U43" i="69" a="1"/>
  <c r="U43" i="69"/>
  <c r="U28" i="69" a="1"/>
  <c r="U28" i="69"/>
  <c r="V28" i="69" a="1"/>
  <c r="V28" i="69"/>
  <c r="V32" i="69" a="1"/>
  <c r="V32" i="69"/>
  <c r="U32" i="69" a="1"/>
  <c r="U32" i="69"/>
  <c r="U36" i="69" a="1"/>
  <c r="U36" i="69"/>
  <c r="V36" i="69" a="1"/>
  <c r="V36" i="69"/>
  <c r="V40" i="69" a="1"/>
  <c r="V40" i="69"/>
  <c r="U40" i="69" a="1"/>
  <c r="U40" i="69"/>
  <c r="U44" i="69" a="1"/>
  <c r="U44" i="69"/>
  <c r="V44" i="69" a="1"/>
  <c r="V44" i="69"/>
  <c r="V34" i="69" a="1"/>
  <c r="V34" i="69"/>
  <c r="U34" i="69" a="1"/>
  <c r="U34" i="69"/>
  <c r="V42" i="69" a="1"/>
  <c r="V42" i="69"/>
  <c r="U42" i="69" a="1"/>
  <c r="U42" i="69"/>
  <c r="V31" i="69" a="1"/>
  <c r="V31" i="69"/>
  <c r="U31" i="69" a="1"/>
  <c r="U31" i="69"/>
  <c r="V39" i="69" a="1"/>
  <c r="V39" i="69"/>
  <c r="U39" i="69" a="1"/>
  <c r="U39" i="69"/>
  <c r="U29" i="69" a="1"/>
  <c r="U29" i="69"/>
  <c r="V29" i="69" a="1"/>
  <c r="V29" i="69"/>
  <c r="U33" i="69" a="1"/>
  <c r="U33" i="69"/>
  <c r="V33" i="69" a="1"/>
  <c r="V33" i="69"/>
  <c r="U37" i="69" a="1"/>
  <c r="U37" i="69"/>
  <c r="V37" i="69" a="1"/>
  <c r="V37" i="69"/>
  <c r="U41" i="69" a="1"/>
  <c r="U41" i="69"/>
  <c r="V41" i="69" a="1"/>
  <c r="V41" i="69"/>
  <c r="AU7" i="40"/>
  <c r="AX7" i="40"/>
  <c r="U10" i="69" a="1"/>
  <c r="U10" i="69"/>
  <c r="V10" i="69" a="1"/>
  <c r="V10" i="69"/>
  <c r="AA9" i="40"/>
  <c r="AU9" i="40"/>
  <c r="AA10" i="40"/>
  <c r="AU10" i="40"/>
  <c r="N64" i="53"/>
  <c r="Q11" i="86"/>
  <c r="G41" i="44"/>
  <c r="G43" i="44"/>
  <c r="Q54" i="41"/>
  <c r="Q55" i="41"/>
  <c r="K14" i="41"/>
  <c r="C20" i="81"/>
  <c r="C58" i="81"/>
  <c r="E9" i="85"/>
  <c r="Q50" i="41"/>
  <c r="K22" i="42"/>
  <c r="C55" i="81"/>
  <c r="C56" i="81"/>
  <c r="AA30" i="40"/>
  <c r="AX30" i="40"/>
  <c r="AA34" i="40"/>
  <c r="AX34" i="40"/>
  <c r="AA38" i="40"/>
  <c r="AX38" i="40"/>
  <c r="AW40" i="40"/>
  <c r="AX40" i="40"/>
  <c r="AA22" i="40"/>
  <c r="AX22" i="40"/>
  <c r="W36" i="69"/>
  <c r="S36" i="69"/>
  <c r="AA18" i="40"/>
  <c r="AW18" i="40"/>
  <c r="AA14" i="40"/>
  <c r="AW14" i="40"/>
  <c r="S55" i="41"/>
  <c r="K16" i="41"/>
  <c r="S54" i="41"/>
  <c r="B60" i="82"/>
  <c r="D42" i="82"/>
  <c r="D33" i="83"/>
  <c r="D35" i="83"/>
  <c r="D37" i="83"/>
  <c r="D40" i="83"/>
  <c r="E16" i="85"/>
  <c r="B13" i="84"/>
  <c r="F42" i="41"/>
  <c r="D42" i="62"/>
  <c r="AB41" i="40"/>
  <c r="AX41" i="40"/>
  <c r="AB39" i="40"/>
  <c r="AV39" i="40"/>
  <c r="AB38" i="40"/>
  <c r="AU38" i="40"/>
  <c r="AB37" i="40"/>
  <c r="AT37" i="40"/>
  <c r="AB36" i="40"/>
  <c r="AX36" i="40"/>
  <c r="AB35" i="40"/>
  <c r="AW35" i="40"/>
  <c r="AB34" i="40"/>
  <c r="AV34" i="40"/>
  <c r="AB33" i="40"/>
  <c r="AU33" i="40"/>
  <c r="AB32" i="40"/>
  <c r="AT32" i="40"/>
  <c r="AB31" i="40"/>
  <c r="AX31" i="40"/>
  <c r="AB30" i="40"/>
  <c r="AW30" i="40"/>
  <c r="AB29" i="40"/>
  <c r="AV29" i="40"/>
  <c r="AB28" i="40"/>
  <c r="AU28" i="40"/>
  <c r="AB27" i="40"/>
  <c r="AT27" i="40"/>
  <c r="AB26" i="40"/>
  <c r="AX26" i="40"/>
  <c r="AB25" i="40"/>
  <c r="AW25" i="40"/>
  <c r="AB24" i="40"/>
  <c r="AV24" i="40"/>
  <c r="AB23" i="40"/>
  <c r="AU23" i="40"/>
  <c r="AB22" i="40"/>
  <c r="AT22" i="40"/>
  <c r="AB21" i="40"/>
  <c r="AX21" i="40"/>
  <c r="AB20" i="40"/>
  <c r="AW20" i="40"/>
  <c r="AB19" i="40"/>
  <c r="AV19" i="40"/>
  <c r="AB18" i="40"/>
  <c r="AU18" i="40"/>
  <c r="AB17" i="40"/>
  <c r="AT17" i="40"/>
  <c r="AB16" i="40"/>
  <c r="AX16" i="40"/>
  <c r="AB15" i="40"/>
  <c r="AW15" i="40"/>
  <c r="AB14" i="40"/>
  <c r="AV14" i="40"/>
  <c r="AB13" i="40"/>
  <c r="AU13" i="40"/>
  <c r="AB12" i="40"/>
  <c r="AT12" i="40"/>
  <c r="AB11" i="40"/>
  <c r="AX11" i="40"/>
  <c r="AB10" i="40"/>
  <c r="AW10" i="40"/>
  <c r="AB9" i="40"/>
  <c r="AV9" i="40"/>
  <c r="AB7" i="40"/>
  <c r="AT7" i="40"/>
  <c r="AA8" i="40"/>
  <c r="AB8" i="40"/>
  <c r="AA40" i="40"/>
  <c r="AB40" i="40"/>
  <c r="H42" i="40"/>
  <c r="H45" i="69"/>
  <c r="G52" i="69"/>
  <c r="P39" i="12"/>
  <c r="W34" i="69"/>
  <c r="S34" i="69"/>
  <c r="J34" i="69"/>
  <c r="Z34" i="69"/>
  <c r="W42" i="69"/>
  <c r="S42" i="69"/>
  <c r="J42" i="69"/>
  <c r="Z42" i="69"/>
  <c r="W44" i="69"/>
  <c r="S44" i="69"/>
  <c r="J44" i="69"/>
  <c r="Z44" i="69"/>
  <c r="G9" i="85"/>
  <c r="K40" i="85"/>
  <c r="W41" i="69"/>
  <c r="S41" i="69"/>
  <c r="W43" i="69"/>
  <c r="S43" i="69"/>
  <c r="W40" i="69"/>
  <c r="S40" i="69"/>
  <c r="W35" i="69"/>
  <c r="S35" i="69"/>
  <c r="W33" i="69"/>
  <c r="S33" i="69"/>
  <c r="W37" i="69"/>
  <c r="S37" i="69"/>
  <c r="W30" i="69"/>
  <c r="S30" i="69"/>
  <c r="W29" i="69"/>
  <c r="S29" i="69"/>
  <c r="W28" i="69"/>
  <c r="S28" i="69"/>
  <c r="W39" i="69"/>
  <c r="S39" i="69"/>
  <c r="W38" i="69"/>
  <c r="S38" i="69"/>
  <c r="W31" i="69"/>
  <c r="S31" i="69"/>
  <c r="W32" i="69"/>
  <c r="S32" i="69"/>
  <c r="J36" i="69"/>
  <c r="Z36" i="69"/>
  <c r="D29" i="82"/>
  <c r="D27" i="82"/>
  <c r="D20" i="82"/>
  <c r="D32" i="82"/>
  <c r="D33" i="82"/>
  <c r="D44" i="82"/>
  <c r="B62" i="82"/>
  <c r="D24" i="82"/>
  <c r="D18" i="82"/>
  <c r="D49" i="82"/>
  <c r="D31" i="82"/>
  <c r="D22" i="82"/>
  <c r="D30" i="82"/>
  <c r="D41" i="82"/>
  <c r="D21" i="82"/>
  <c r="C21" i="82"/>
  <c r="D34" i="82"/>
  <c r="C34" i="82"/>
  <c r="D52" i="82"/>
  <c r="D46" i="82"/>
  <c r="D15" i="82"/>
  <c r="D19" i="82"/>
  <c r="D38" i="82"/>
  <c r="D43" i="82"/>
  <c r="D56" i="82"/>
  <c r="D55" i="82"/>
  <c r="D37" i="82"/>
  <c r="D43" i="83"/>
  <c r="D35" i="82"/>
  <c r="D48" i="82"/>
  <c r="D39" i="82"/>
  <c r="D53" i="82"/>
  <c r="D47" i="82"/>
  <c r="D28" i="82"/>
  <c r="D26" i="82"/>
  <c r="D17" i="82"/>
  <c r="D23" i="82"/>
  <c r="D16" i="82"/>
  <c r="D25" i="82"/>
  <c r="D40" i="82"/>
  <c r="D45" i="82"/>
  <c r="D51" i="82"/>
  <c r="D50" i="82"/>
  <c r="D54" i="82"/>
  <c r="D24" i="43"/>
  <c r="D34" i="43"/>
  <c r="AT42" i="40"/>
  <c r="AT46" i="40"/>
  <c r="AX42" i="40"/>
  <c r="AX46" i="40"/>
  <c r="AU42" i="40"/>
  <c r="AU46" i="40"/>
  <c r="AW42" i="40"/>
  <c r="AW46" i="40"/>
  <c r="AV42" i="40"/>
  <c r="AV46" i="40"/>
  <c r="AE42" i="40"/>
  <c r="AE46" i="40"/>
  <c r="AD42" i="40"/>
  <c r="AD46" i="40"/>
  <c r="AF42" i="40"/>
  <c r="AF46" i="40"/>
  <c r="E22" i="71"/>
  <c r="H3" i="71"/>
  <c r="C4" i="81"/>
  <c r="C38" i="81"/>
  <c r="P43" i="12"/>
  <c r="C5" i="81"/>
  <c r="C61" i="81"/>
  <c r="AH39" i="12"/>
  <c r="J28" i="69"/>
  <c r="Z28" i="69"/>
  <c r="J33" i="69"/>
  <c r="Z33" i="69"/>
  <c r="J41" i="69"/>
  <c r="Z41" i="69"/>
  <c r="J29" i="69"/>
  <c r="Z29" i="69"/>
  <c r="J35" i="69"/>
  <c r="Z35" i="69"/>
  <c r="J38" i="69"/>
  <c r="Z38" i="69"/>
  <c r="J30" i="69"/>
  <c r="Z30" i="69"/>
  <c r="J40" i="69"/>
  <c r="Z40" i="69"/>
  <c r="J37" i="69"/>
  <c r="Z37" i="69"/>
  <c r="J43" i="69"/>
  <c r="Z43" i="69"/>
  <c r="D7" i="43"/>
  <c r="G20" i="44"/>
  <c r="G24" i="44"/>
  <c r="K42" i="85"/>
  <c r="K41" i="85"/>
  <c r="G16" i="85"/>
  <c r="J39" i="69"/>
  <c r="Z39" i="69"/>
  <c r="J32" i="69"/>
  <c r="Z32" i="69"/>
  <c r="J31" i="69"/>
  <c r="Z31" i="69"/>
  <c r="C17" i="82"/>
  <c r="C58" i="82"/>
  <c r="D36" i="43"/>
  <c r="D41" i="43"/>
  <c r="D58" i="82"/>
  <c r="O25" i="72"/>
  <c r="E19" i="69"/>
  <c r="Y19" i="69"/>
  <c r="E18" i="69"/>
  <c r="Y18" i="69"/>
  <c r="E17" i="69"/>
  <c r="Y17" i="69"/>
  <c r="E16" i="69"/>
  <c r="Y16" i="69"/>
  <c r="E15" i="69"/>
  <c r="Y15" i="69"/>
  <c r="E14" i="69"/>
  <c r="Y14" i="69"/>
  <c r="E13" i="69"/>
  <c r="Y13" i="69"/>
  <c r="E12" i="69"/>
  <c r="Y12" i="69"/>
  <c r="E11" i="69"/>
  <c r="Y11" i="69"/>
  <c r="W10" i="69"/>
  <c r="S10" i="69"/>
  <c r="F27" i="69"/>
  <c r="F26" i="69"/>
  <c r="F25" i="69"/>
  <c r="F24" i="69"/>
  <c r="F23" i="69"/>
  <c r="F22" i="69"/>
  <c r="F21" i="69"/>
  <c r="F20" i="69"/>
  <c r="F19" i="69"/>
  <c r="F18" i="69"/>
  <c r="F17" i="69"/>
  <c r="F16" i="69"/>
  <c r="F15" i="69"/>
  <c r="F14" i="69"/>
  <c r="F13" i="69"/>
  <c r="F12" i="69"/>
  <c r="F11" i="69"/>
  <c r="F10" i="69"/>
  <c r="E27" i="69"/>
  <c r="Y27" i="69"/>
  <c r="E26" i="69"/>
  <c r="Y26" i="69"/>
  <c r="E25" i="69"/>
  <c r="Y25" i="69"/>
  <c r="E24" i="69"/>
  <c r="Y24" i="69"/>
  <c r="E23" i="69"/>
  <c r="Y23" i="69"/>
  <c r="E22" i="69"/>
  <c r="Y22" i="69"/>
  <c r="E21" i="69"/>
  <c r="Y21" i="69"/>
  <c r="E20" i="69"/>
  <c r="Y20" i="69"/>
  <c r="F63" i="79"/>
  <c r="F61" i="79"/>
  <c r="F57" i="79"/>
  <c r="Y25" i="66"/>
  <c r="F48" i="79"/>
  <c r="Y21" i="66"/>
  <c r="F47" i="79"/>
  <c r="AH43" i="12"/>
  <c r="C29" i="81"/>
  <c r="C24" i="81"/>
  <c r="C60" i="81"/>
  <c r="C15" i="81"/>
  <c r="I16" i="85"/>
  <c r="L63" i="85"/>
  <c r="D46" i="83"/>
  <c r="V26" i="69" a="1"/>
  <c r="V26" i="69"/>
  <c r="U26" i="69" a="1"/>
  <c r="U26" i="69"/>
  <c r="V18" i="69" a="1"/>
  <c r="V18" i="69"/>
  <c r="U18" i="69" a="1"/>
  <c r="U18" i="69"/>
  <c r="V23" i="69" a="1"/>
  <c r="V23" i="69"/>
  <c r="U23" i="69" a="1"/>
  <c r="U23" i="69"/>
  <c r="V27" i="69" a="1"/>
  <c r="V27" i="69"/>
  <c r="U27" i="69" a="1"/>
  <c r="U27" i="69"/>
  <c r="V15" i="69" a="1"/>
  <c r="V15" i="69"/>
  <c r="U15" i="69" a="1"/>
  <c r="U15" i="69"/>
  <c r="V19" i="69" a="1"/>
  <c r="V19" i="69"/>
  <c r="U19" i="69" a="1"/>
  <c r="U19" i="69"/>
  <c r="V20" i="69" a="1"/>
  <c r="V20" i="69"/>
  <c r="U20" i="69" a="1"/>
  <c r="U20" i="69"/>
  <c r="V24" i="69" a="1"/>
  <c r="V24" i="69"/>
  <c r="U24" i="69" a="1"/>
  <c r="U24" i="69"/>
  <c r="U16" i="69" a="1"/>
  <c r="U16" i="69"/>
  <c r="V16" i="69" a="1"/>
  <c r="V16" i="69"/>
  <c r="V22" i="69" a="1"/>
  <c r="V22" i="69"/>
  <c r="U22" i="69" a="1"/>
  <c r="U22" i="69"/>
  <c r="U21" i="69" a="1"/>
  <c r="U21" i="69"/>
  <c r="V21" i="69" a="1"/>
  <c r="V21" i="69"/>
  <c r="U25" i="69" a="1"/>
  <c r="U25" i="69"/>
  <c r="V25" i="69" a="1"/>
  <c r="V25" i="69"/>
  <c r="U17" i="69" a="1"/>
  <c r="U17" i="69"/>
  <c r="V17" i="69" a="1"/>
  <c r="V17" i="69"/>
  <c r="V11" i="69" a="1"/>
  <c r="V11" i="69"/>
  <c r="U11" i="69" a="1"/>
  <c r="U11" i="69"/>
  <c r="V14" i="69" a="1"/>
  <c r="V14" i="69"/>
  <c r="U14" i="69" a="1"/>
  <c r="U14" i="69"/>
  <c r="V12" i="69" a="1"/>
  <c r="V12" i="69"/>
  <c r="U12" i="69" a="1"/>
  <c r="U12" i="69"/>
  <c r="U13" i="69" a="1"/>
  <c r="U13" i="69"/>
  <c r="V13" i="69" a="1"/>
  <c r="V13" i="69"/>
  <c r="K63" i="85"/>
  <c r="F45" i="69"/>
  <c r="F52" i="69"/>
  <c r="D45" i="83"/>
  <c r="C25" i="81"/>
  <c r="C39" i="81"/>
  <c r="C30" i="81"/>
  <c r="C16" i="81"/>
  <c r="F59" i="79"/>
  <c r="W16" i="69"/>
  <c r="S16" i="69"/>
  <c r="J16" i="69"/>
  <c r="Z16" i="69"/>
  <c r="W21" i="69"/>
  <c r="S21" i="69"/>
  <c r="J21" i="69"/>
  <c r="Z21" i="69"/>
  <c r="W27" i="69"/>
  <c r="S27" i="69"/>
  <c r="J27" i="69"/>
  <c r="Z27" i="69"/>
  <c r="W19" i="69"/>
  <c r="S19" i="69"/>
  <c r="K50" i="41"/>
  <c r="K53" i="41"/>
  <c r="K52" i="41"/>
  <c r="K49" i="41"/>
  <c r="L71" i="85"/>
  <c r="L67" i="85"/>
  <c r="L70" i="85"/>
  <c r="L68" i="85"/>
  <c r="M22" i="64"/>
  <c r="W15" i="69"/>
  <c r="S15" i="69"/>
  <c r="W24" i="69"/>
  <c r="S24" i="69"/>
  <c r="W26" i="69"/>
  <c r="S26" i="69"/>
  <c r="W20" i="69"/>
  <c r="S20" i="69"/>
  <c r="W25" i="69"/>
  <c r="S25" i="69"/>
  <c r="W18" i="69"/>
  <c r="S18" i="69"/>
  <c r="W23" i="69"/>
  <c r="S23" i="69"/>
  <c r="W17" i="69"/>
  <c r="S17" i="69"/>
  <c r="W22" i="69"/>
  <c r="S22" i="69"/>
  <c r="W14" i="69"/>
  <c r="S14" i="69"/>
  <c r="W12" i="69"/>
  <c r="S12" i="69"/>
  <c r="W13" i="69"/>
  <c r="S13" i="69"/>
  <c r="W11" i="69"/>
  <c r="S11" i="69"/>
  <c r="J10" i="69"/>
  <c r="Z10" i="69"/>
  <c r="J23" i="69"/>
  <c r="Z23" i="69"/>
  <c r="J19" i="69"/>
  <c r="Z19" i="69"/>
  <c r="J24" i="69"/>
  <c r="Z24" i="69"/>
  <c r="J20" i="69"/>
  <c r="Z20" i="69"/>
  <c r="J26" i="69"/>
  <c r="Z26" i="69"/>
  <c r="J25" i="69"/>
  <c r="Z25" i="69"/>
  <c r="J15" i="69"/>
  <c r="Z15" i="69"/>
  <c r="K51" i="41"/>
  <c r="K39" i="41"/>
  <c r="W23" i="51"/>
  <c r="Y23" i="51"/>
  <c r="Z23" i="51"/>
  <c r="U23" i="51"/>
  <c r="K54" i="41"/>
  <c r="L58" i="85"/>
  <c r="I18" i="85"/>
  <c r="I19" i="85"/>
  <c r="I21" i="85"/>
  <c r="I28" i="85"/>
  <c r="L72" i="85"/>
  <c r="L69" i="85"/>
  <c r="K58" i="85"/>
  <c r="G18" i="85"/>
  <c r="S11" i="86"/>
  <c r="J12" i="69"/>
  <c r="Z12" i="69"/>
  <c r="J22" i="69"/>
  <c r="Z22" i="69"/>
  <c r="J14" i="69"/>
  <c r="Z14" i="69"/>
  <c r="J18" i="69"/>
  <c r="Z18" i="69"/>
  <c r="J13" i="69"/>
  <c r="Z13" i="69"/>
  <c r="J17" i="69"/>
  <c r="Z17" i="69"/>
  <c r="J11" i="69"/>
  <c r="Z11" i="69"/>
  <c r="I30" i="85"/>
  <c r="I32" i="85"/>
  <c r="E18" i="85"/>
  <c r="B15" i="84"/>
  <c r="G19" i="85"/>
  <c r="J39" i="41"/>
  <c r="W22" i="51"/>
  <c r="Y22" i="51"/>
  <c r="Z22" i="51"/>
  <c r="U22" i="51"/>
  <c r="U24" i="51"/>
  <c r="O54" i="69"/>
  <c r="F76" i="79"/>
  <c r="E19" i="85"/>
  <c r="E21" i="85"/>
  <c r="B17" i="84"/>
  <c r="B38" i="84"/>
  <c r="B42" i="84"/>
  <c r="B44" i="84"/>
  <c r="B46" i="84"/>
  <c r="G21" i="85"/>
  <c r="G28" i="85"/>
  <c r="K42" i="55"/>
  <c r="K41" i="55"/>
  <c r="K40" i="55"/>
  <c r="K39" i="55"/>
  <c r="K38" i="55"/>
  <c r="K37" i="55"/>
  <c r="K36" i="55"/>
  <c r="K35" i="55"/>
  <c r="K34" i="55"/>
  <c r="K33" i="55"/>
  <c r="K32" i="55"/>
  <c r="K31" i="55"/>
  <c r="K30" i="55"/>
  <c r="K29" i="55"/>
  <c r="K28" i="55"/>
  <c r="K27" i="55"/>
  <c r="K26" i="55"/>
  <c r="K25" i="55"/>
  <c r="K24" i="55"/>
  <c r="K23" i="55"/>
  <c r="K22" i="55"/>
  <c r="K21" i="55"/>
  <c r="K20" i="55"/>
  <c r="K19" i="55"/>
  <c r="K18" i="55"/>
  <c r="K17" i="55"/>
  <c r="K16" i="55"/>
  <c r="K15" i="55"/>
  <c r="K14" i="55"/>
  <c r="K13" i="55"/>
  <c r="K12" i="55"/>
  <c r="K11" i="55"/>
  <c r="K10" i="55"/>
  <c r="K9" i="55"/>
  <c r="G29" i="85"/>
  <c r="G30" i="85"/>
  <c r="G32" i="85"/>
  <c r="I20" i="56"/>
  <c r="I10" i="56"/>
  <c r="I12" i="56"/>
  <c r="I18" i="56"/>
  <c r="I33" i="56"/>
  <c r="I9" i="56"/>
  <c r="I21" i="56"/>
  <c r="I29" i="56"/>
  <c r="I27" i="56"/>
  <c r="I37" i="56"/>
  <c r="I41" i="56"/>
  <c r="I43" i="56"/>
  <c r="I26" i="56"/>
  <c r="I36" i="56"/>
  <c r="I30" i="56"/>
  <c r="I38" i="56"/>
  <c r="I42" i="56"/>
  <c r="I25" i="56"/>
  <c r="F9" i="56"/>
  <c r="F11" i="56"/>
  <c r="F13" i="56"/>
  <c r="F15" i="56"/>
  <c r="F17" i="56"/>
  <c r="F19" i="56"/>
  <c r="F21" i="56"/>
  <c r="F23" i="56"/>
  <c r="F25" i="56"/>
  <c r="F27" i="56"/>
  <c r="F29" i="56"/>
  <c r="F31" i="56"/>
  <c r="F33" i="56"/>
  <c r="F35" i="56"/>
  <c r="F37" i="56"/>
  <c r="F39" i="56"/>
  <c r="F41" i="56"/>
  <c r="F43" i="56"/>
  <c r="I23" i="56"/>
  <c r="I32" i="56"/>
  <c r="I39" i="56"/>
  <c r="I13" i="56"/>
  <c r="I15" i="56"/>
  <c r="I17" i="56"/>
  <c r="I19" i="56"/>
  <c r="I28" i="56"/>
  <c r="I35" i="56"/>
  <c r="F18" i="56"/>
  <c r="F20" i="56"/>
  <c r="F22" i="56"/>
  <c r="F24" i="56"/>
  <c r="F26" i="56"/>
  <c r="F28" i="56"/>
  <c r="F30" i="56"/>
  <c r="F32" i="56"/>
  <c r="F34" i="56"/>
  <c r="F36" i="56"/>
  <c r="F38" i="56"/>
  <c r="F40" i="56"/>
  <c r="F42" i="56"/>
  <c r="I22" i="56"/>
  <c r="I24" i="56"/>
  <c r="I31" i="56"/>
  <c r="I34" i="56"/>
  <c r="I40" i="56"/>
  <c r="I11" i="56"/>
  <c r="F10" i="56"/>
  <c r="F12" i="56"/>
  <c r="F14" i="56"/>
  <c r="F16" i="56"/>
  <c r="G44" i="56"/>
  <c r="L19" i="12"/>
  <c r="I14" i="56"/>
  <c r="I16" i="56"/>
  <c r="D44" i="56"/>
  <c r="G42" i="55"/>
  <c r="G41" i="55"/>
  <c r="G40" i="55"/>
  <c r="G39" i="55"/>
  <c r="G38" i="55"/>
  <c r="G37" i="55"/>
  <c r="G36" i="55"/>
  <c r="G35" i="55"/>
  <c r="G34" i="55"/>
  <c r="G33" i="55"/>
  <c r="G32" i="55"/>
  <c r="G31" i="55"/>
  <c r="G30" i="55"/>
  <c r="G29" i="55"/>
  <c r="G28" i="55"/>
  <c r="G27" i="55"/>
  <c r="G26" i="55"/>
  <c r="G25" i="55"/>
  <c r="G24" i="55"/>
  <c r="G23" i="55"/>
  <c r="G22" i="55"/>
  <c r="G21" i="55"/>
  <c r="G20" i="55"/>
  <c r="G19" i="55"/>
  <c r="G18" i="55"/>
  <c r="N18" i="55"/>
  <c r="G17" i="55"/>
  <c r="G16" i="55"/>
  <c r="G15" i="55"/>
  <c r="G14" i="55"/>
  <c r="G13" i="55"/>
  <c r="G12" i="55"/>
  <c r="G11" i="55"/>
  <c r="G10" i="55"/>
  <c r="G9" i="55"/>
  <c r="O27" i="52"/>
  <c r="L27" i="52"/>
  <c r="F27" i="52"/>
  <c r="H18" i="57"/>
  <c r="H20" i="57"/>
  <c r="H33" i="57"/>
  <c r="H35" i="57"/>
  <c r="G12" i="44"/>
  <c r="R27" i="52"/>
  <c r="I20" i="55"/>
  <c r="F30" i="100"/>
  <c r="N20" i="55"/>
  <c r="I36" i="55"/>
  <c r="F46" i="100"/>
  <c r="N36" i="55"/>
  <c r="I22" i="55"/>
  <c r="F32" i="100"/>
  <c r="N22" i="55"/>
  <c r="I30" i="55"/>
  <c r="F40" i="100"/>
  <c r="N30" i="55"/>
  <c r="I38" i="55"/>
  <c r="F48" i="100"/>
  <c r="N38" i="55"/>
  <c r="I42" i="55"/>
  <c r="F52" i="100"/>
  <c r="N42" i="55"/>
  <c r="I28" i="55"/>
  <c r="F38" i="100"/>
  <c r="N28" i="55"/>
  <c r="I32" i="55"/>
  <c r="F42" i="100"/>
  <c r="N32" i="55"/>
  <c r="I10" i="55"/>
  <c r="I26" i="55"/>
  <c r="F36" i="100"/>
  <c r="N26" i="55"/>
  <c r="I34" i="55"/>
  <c r="F44" i="100"/>
  <c r="N34" i="55"/>
  <c r="I9" i="55"/>
  <c r="I21" i="55"/>
  <c r="F31" i="100"/>
  <c r="N21" i="55"/>
  <c r="I25" i="55"/>
  <c r="F35" i="100"/>
  <c r="N25" i="55"/>
  <c r="I29" i="55"/>
  <c r="F39" i="100"/>
  <c r="N29" i="55"/>
  <c r="I33" i="55"/>
  <c r="F43" i="100"/>
  <c r="N33" i="55"/>
  <c r="I37" i="55"/>
  <c r="F47" i="100"/>
  <c r="N37" i="55"/>
  <c r="I41" i="55"/>
  <c r="F51" i="100"/>
  <c r="N41" i="55"/>
  <c r="I12" i="55"/>
  <c r="I24" i="55"/>
  <c r="F34" i="100"/>
  <c r="N24" i="55"/>
  <c r="I40" i="55"/>
  <c r="F50" i="100"/>
  <c r="N40" i="55"/>
  <c r="I11" i="55"/>
  <c r="I19" i="55"/>
  <c r="F29" i="100"/>
  <c r="N19" i="55"/>
  <c r="I23" i="55"/>
  <c r="F33" i="100"/>
  <c r="N23" i="55"/>
  <c r="I27" i="55"/>
  <c r="F37" i="100"/>
  <c r="N27" i="55"/>
  <c r="I31" i="55"/>
  <c r="F41" i="100"/>
  <c r="N31" i="55"/>
  <c r="I35" i="55"/>
  <c r="F45" i="100"/>
  <c r="N35" i="55"/>
  <c r="I39" i="55"/>
  <c r="F49" i="100"/>
  <c r="N39" i="55"/>
  <c r="I18" i="55"/>
  <c r="F28" i="100"/>
  <c r="I17" i="55"/>
  <c r="I16" i="55"/>
  <c r="I15" i="55"/>
  <c r="I14" i="55"/>
  <c r="I13" i="55"/>
  <c r="L17" i="12"/>
  <c r="F44" i="56"/>
  <c r="D7" i="58"/>
  <c r="I44" i="56"/>
  <c r="E7" i="58"/>
  <c r="E8" i="58"/>
  <c r="E43" i="55"/>
  <c r="R18" i="57"/>
  <c r="H16" i="58"/>
  <c r="D14" i="60"/>
  <c r="E14" i="60"/>
  <c r="F14" i="60"/>
  <c r="G14" i="60"/>
  <c r="H14" i="60"/>
  <c r="I14" i="60"/>
  <c r="J14" i="60"/>
  <c r="K14" i="60"/>
  <c r="D47" i="60"/>
  <c r="E47" i="60"/>
  <c r="F47" i="60"/>
  <c r="G47" i="60"/>
  <c r="H47" i="60"/>
  <c r="I47" i="60"/>
  <c r="J47" i="60"/>
  <c r="E16" i="89"/>
  <c r="F16" i="89"/>
  <c r="G16" i="89"/>
  <c r="H16" i="89"/>
  <c r="I16" i="89"/>
  <c r="J16" i="89"/>
  <c r="K16" i="89"/>
  <c r="L16" i="89"/>
  <c r="E42" i="89"/>
  <c r="F42" i="89"/>
  <c r="G42" i="89"/>
  <c r="H42" i="89"/>
  <c r="I42" i="89"/>
  <c r="J42" i="89"/>
  <c r="K42" i="89"/>
  <c r="L42" i="89"/>
  <c r="N14" i="55"/>
  <c r="F24" i="100"/>
  <c r="N15" i="55"/>
  <c r="F25" i="100"/>
  <c r="N11" i="55"/>
  <c r="F21" i="100"/>
  <c r="N12" i="55"/>
  <c r="F22" i="100"/>
  <c r="N16" i="55"/>
  <c r="F26" i="100"/>
  <c r="N13" i="55"/>
  <c r="F23" i="100"/>
  <c r="N17" i="55"/>
  <c r="F27" i="100"/>
  <c r="N9" i="55"/>
  <c r="F19" i="100"/>
  <c r="N10" i="55"/>
  <c r="F20" i="100"/>
  <c r="L21" i="12"/>
  <c r="E10" i="58"/>
  <c r="X14" i="58"/>
  <c r="D8" i="58"/>
  <c r="H7" i="58"/>
  <c r="B10" i="84"/>
  <c r="D10" i="58"/>
  <c r="D7" i="60"/>
  <c r="E7" i="60"/>
  <c r="F7" i="60"/>
  <c r="G7" i="60"/>
  <c r="H7" i="60"/>
  <c r="I7" i="60"/>
  <c r="J7" i="60"/>
  <c r="K7" i="60"/>
  <c r="D40" i="60"/>
  <c r="E40" i="60"/>
  <c r="F40" i="60"/>
  <c r="G40" i="60"/>
  <c r="H40" i="60"/>
  <c r="I40" i="60"/>
  <c r="J40" i="60"/>
  <c r="E9" i="89"/>
  <c r="F9" i="89"/>
  <c r="Q8" i="58"/>
  <c r="C3" i="81"/>
  <c r="C66" i="81"/>
  <c r="B11" i="82"/>
  <c r="B11" i="83"/>
  <c r="AD21" i="12"/>
  <c r="F17" i="79"/>
  <c r="AA14" i="64"/>
  <c r="Z14" i="64"/>
  <c r="Y14" i="64"/>
  <c r="X15" i="64"/>
  <c r="Z16" i="64"/>
  <c r="X16" i="64"/>
  <c r="X14" i="64"/>
  <c r="AA15" i="64"/>
  <c r="Z15" i="64"/>
  <c r="Y15" i="64"/>
  <c r="AA16" i="64"/>
  <c r="Y16" i="64"/>
  <c r="E13" i="58"/>
  <c r="X13" i="58"/>
  <c r="D8" i="60"/>
  <c r="E8" i="60"/>
  <c r="F8" i="60"/>
  <c r="G8" i="60"/>
  <c r="H8" i="60"/>
  <c r="I8" i="60"/>
  <c r="J8" i="60"/>
  <c r="K8" i="60"/>
  <c r="D41" i="60"/>
  <c r="E41" i="60"/>
  <c r="F41" i="60"/>
  <c r="G41" i="60"/>
  <c r="H41" i="60"/>
  <c r="I41" i="60"/>
  <c r="J41" i="60"/>
  <c r="E10" i="89"/>
  <c r="F10" i="89"/>
  <c r="G10" i="89"/>
  <c r="H10" i="89"/>
  <c r="I10" i="89"/>
  <c r="J10" i="89"/>
  <c r="K10" i="89"/>
  <c r="H8" i="58"/>
  <c r="C59" i="81"/>
  <c r="C68" i="81"/>
  <c r="C67" i="81"/>
  <c r="C37" i="81"/>
  <c r="C14" i="81"/>
  <c r="H10" i="58"/>
  <c r="D13" i="58"/>
  <c r="Q13" i="58"/>
  <c r="E12" i="89"/>
  <c r="E18" i="89"/>
  <c r="E24" i="89"/>
  <c r="L10" i="89"/>
  <c r="E36" i="89"/>
  <c r="F36" i="89"/>
  <c r="G36" i="89"/>
  <c r="H36" i="89"/>
  <c r="I36" i="89"/>
  <c r="J36" i="89"/>
  <c r="K36" i="89"/>
  <c r="L36" i="89"/>
  <c r="F12" i="89"/>
  <c r="F18" i="89"/>
  <c r="F24" i="89"/>
  <c r="G9" i="89"/>
  <c r="C23" i="81"/>
  <c r="C28" i="81"/>
  <c r="AA17" i="64"/>
  <c r="Z17" i="64"/>
  <c r="X17" i="64"/>
  <c r="Y17" i="64"/>
  <c r="D10" i="60"/>
  <c r="D16" i="60"/>
  <c r="D22" i="60"/>
  <c r="F27" i="89"/>
  <c r="F26" i="89"/>
  <c r="T16" i="89"/>
  <c r="E27" i="89"/>
  <c r="E26" i="89"/>
  <c r="S16" i="89"/>
  <c r="H13" i="58"/>
  <c r="H18" i="58"/>
  <c r="H25" i="58"/>
  <c r="H27" i="58"/>
  <c r="H9" i="89"/>
  <c r="G12" i="89"/>
  <c r="G18" i="89"/>
  <c r="G24" i="89"/>
  <c r="AB17" i="64"/>
  <c r="S22" i="64"/>
  <c r="H28" i="58"/>
  <c r="G26" i="89"/>
  <c r="T17" i="89"/>
  <c r="G27" i="89"/>
  <c r="S1" i="89"/>
  <c r="D26" i="60"/>
  <c r="D25" i="60"/>
  <c r="T1" i="89"/>
  <c r="D28" i="60"/>
  <c r="D30" i="60"/>
  <c r="D23" i="60"/>
  <c r="S17" i="89"/>
  <c r="H32" i="58"/>
  <c r="H30" i="58"/>
  <c r="I9" i="89"/>
  <c r="H12" i="89"/>
  <c r="H18" i="89"/>
  <c r="H24" i="89"/>
  <c r="E10" i="60"/>
  <c r="E16" i="60"/>
  <c r="E22" i="60"/>
  <c r="F10" i="60"/>
  <c r="F16" i="60"/>
  <c r="F22" i="60"/>
  <c r="E26" i="60"/>
  <c r="E25" i="60"/>
  <c r="T2" i="89"/>
  <c r="H26" i="89"/>
  <c r="T18" i="89"/>
  <c r="H27" i="89"/>
  <c r="F25" i="60"/>
  <c r="T3" i="89"/>
  <c r="F26" i="60"/>
  <c r="D33" i="60"/>
  <c r="D34" i="60"/>
  <c r="H34" i="58"/>
  <c r="H35" i="58"/>
  <c r="D31" i="60"/>
  <c r="S2" i="89"/>
  <c r="S18" i="89"/>
  <c r="S3" i="89"/>
  <c r="E23" i="60"/>
  <c r="I12" i="89"/>
  <c r="I18" i="89"/>
  <c r="I24" i="89"/>
  <c r="J9" i="89"/>
  <c r="F9" i="79"/>
  <c r="E28" i="60"/>
  <c r="E30" i="60"/>
  <c r="F28" i="60"/>
  <c r="F30" i="60"/>
  <c r="G10" i="60"/>
  <c r="G16" i="60"/>
  <c r="G22" i="60"/>
  <c r="E34" i="60"/>
  <c r="E33" i="60"/>
  <c r="F34" i="60"/>
  <c r="F33" i="60"/>
  <c r="G26" i="60"/>
  <c r="G25" i="60"/>
  <c r="T4" i="89"/>
  <c r="I26" i="89"/>
  <c r="T19" i="89"/>
  <c r="I27" i="89"/>
  <c r="S19" i="89"/>
  <c r="S4" i="89"/>
  <c r="F23" i="60"/>
  <c r="E31" i="60"/>
  <c r="F31" i="60"/>
  <c r="F82" i="79"/>
  <c r="K9" i="89"/>
  <c r="J12" i="89"/>
  <c r="J18" i="89"/>
  <c r="J24" i="89"/>
  <c r="G28" i="60"/>
  <c r="G30" i="60"/>
  <c r="H10" i="60"/>
  <c r="H16" i="60"/>
  <c r="H22" i="60"/>
  <c r="H26" i="60"/>
  <c r="H25" i="60"/>
  <c r="T5" i="89"/>
  <c r="G34" i="60"/>
  <c r="G33" i="60"/>
  <c r="J27" i="89"/>
  <c r="J26" i="89"/>
  <c r="T20" i="89"/>
  <c r="S20" i="89"/>
  <c r="S5" i="89"/>
  <c r="G23" i="60"/>
  <c r="G31" i="60"/>
  <c r="K12" i="89"/>
  <c r="K18" i="89"/>
  <c r="K24" i="89"/>
  <c r="L9" i="89"/>
  <c r="E35" i="89"/>
  <c r="E38" i="89"/>
  <c r="E44" i="89"/>
  <c r="E50" i="89"/>
  <c r="H28" i="60"/>
  <c r="H30" i="60"/>
  <c r="I10" i="60"/>
  <c r="I16" i="60"/>
  <c r="I22" i="60"/>
  <c r="E53" i="89"/>
  <c r="E52" i="89"/>
  <c r="T23" i="89"/>
  <c r="H33" i="60"/>
  <c r="H34" i="60"/>
  <c r="K26" i="89"/>
  <c r="T21" i="89"/>
  <c r="K27" i="89"/>
  <c r="I26" i="60"/>
  <c r="I25" i="60"/>
  <c r="T6" i="89"/>
  <c r="F35" i="89"/>
  <c r="F38" i="89"/>
  <c r="F44" i="89"/>
  <c r="F50" i="89"/>
  <c r="S23" i="89"/>
  <c r="S21" i="89"/>
  <c r="S6" i="89"/>
  <c r="H23" i="60"/>
  <c r="H31" i="60"/>
  <c r="L12" i="89"/>
  <c r="L18" i="89"/>
  <c r="L24" i="89"/>
  <c r="I28" i="60"/>
  <c r="I30" i="60"/>
  <c r="J10" i="60"/>
  <c r="J16" i="60"/>
  <c r="J22" i="60"/>
  <c r="F53" i="89"/>
  <c r="F52" i="89"/>
  <c r="T24" i="89"/>
  <c r="I34" i="60"/>
  <c r="I33" i="60"/>
  <c r="J25" i="60"/>
  <c r="T7" i="89"/>
  <c r="J26" i="60"/>
  <c r="L26" i="89"/>
  <c r="T22" i="89"/>
  <c r="L27" i="89"/>
  <c r="S24" i="89"/>
  <c r="S22" i="89"/>
  <c r="S7" i="89"/>
  <c r="I23" i="60"/>
  <c r="J23" i="60"/>
  <c r="I31" i="60"/>
  <c r="G35" i="89"/>
  <c r="J28" i="60"/>
  <c r="J30" i="60"/>
  <c r="D43" i="60"/>
  <c r="K10" i="60"/>
  <c r="K16" i="60"/>
  <c r="K22" i="60"/>
  <c r="J34" i="60"/>
  <c r="J33" i="60"/>
  <c r="K26" i="60"/>
  <c r="K25" i="60"/>
  <c r="T8" i="89"/>
  <c r="D49" i="60"/>
  <c r="D55" i="60"/>
  <c r="S8" i="89"/>
  <c r="K23" i="60"/>
  <c r="J31" i="60"/>
  <c r="G38" i="89"/>
  <c r="G44" i="89"/>
  <c r="G50" i="89"/>
  <c r="H35" i="89"/>
  <c r="K28" i="60"/>
  <c r="K30" i="60"/>
  <c r="E43" i="60"/>
  <c r="E49" i="60"/>
  <c r="E55" i="60"/>
  <c r="K34" i="60"/>
  <c r="K33" i="60"/>
  <c r="E59" i="60"/>
  <c r="E58" i="60"/>
  <c r="T10" i="89"/>
  <c r="G53" i="89"/>
  <c r="G52" i="89"/>
  <c r="T25" i="89"/>
  <c r="D59" i="60"/>
  <c r="D58" i="60"/>
  <c r="T9" i="89"/>
  <c r="D61" i="60"/>
  <c r="D63" i="60"/>
  <c r="S9" i="89"/>
  <c r="S25" i="89"/>
  <c r="S10" i="89"/>
  <c r="D56" i="60"/>
  <c r="E56" i="60"/>
  <c r="K31" i="60"/>
  <c r="H38" i="89"/>
  <c r="H44" i="89"/>
  <c r="H50" i="89"/>
  <c r="I35" i="89"/>
  <c r="E61" i="60"/>
  <c r="E63" i="60"/>
  <c r="F43" i="60"/>
  <c r="F49" i="60"/>
  <c r="F55" i="60"/>
  <c r="E67" i="60"/>
  <c r="E66" i="60"/>
  <c r="D66" i="60"/>
  <c r="D67" i="60"/>
  <c r="H53" i="89"/>
  <c r="H52" i="89"/>
  <c r="T26" i="89"/>
  <c r="F58" i="60"/>
  <c r="T11" i="89"/>
  <c r="F59" i="60"/>
  <c r="D64" i="60"/>
  <c r="E64" i="60"/>
  <c r="S26" i="89"/>
  <c r="S11" i="89"/>
  <c r="F56" i="60"/>
  <c r="I38" i="89"/>
  <c r="I44" i="89"/>
  <c r="I50" i="89"/>
  <c r="J35" i="89"/>
  <c r="F61" i="60"/>
  <c r="F63" i="60"/>
  <c r="G43" i="60"/>
  <c r="G49" i="60"/>
  <c r="G55" i="60"/>
  <c r="I52" i="89"/>
  <c r="T27" i="89"/>
  <c r="I53" i="89"/>
  <c r="G59" i="60"/>
  <c r="G58" i="60"/>
  <c r="T12" i="89"/>
  <c r="F66" i="60"/>
  <c r="F67" i="60"/>
  <c r="S27" i="89"/>
  <c r="S12" i="89"/>
  <c r="G56" i="60"/>
  <c r="F64" i="60"/>
  <c r="J38" i="89"/>
  <c r="J44" i="89"/>
  <c r="J50" i="89"/>
  <c r="K35" i="89"/>
  <c r="G61" i="60"/>
  <c r="G63" i="60"/>
  <c r="H43" i="60"/>
  <c r="H49" i="60"/>
  <c r="H55" i="60"/>
  <c r="J53" i="89"/>
  <c r="J52" i="89"/>
  <c r="T28" i="89"/>
  <c r="H59" i="60"/>
  <c r="H58" i="60"/>
  <c r="T13" i="89"/>
  <c r="G66" i="60"/>
  <c r="G67" i="60"/>
  <c r="S28" i="89"/>
  <c r="S13" i="89"/>
  <c r="G64" i="60"/>
  <c r="H56" i="60"/>
  <c r="K38" i="89"/>
  <c r="K44" i="89"/>
  <c r="K50" i="89"/>
  <c r="L35" i="89"/>
  <c r="L38" i="89"/>
  <c r="L44" i="89"/>
  <c r="L50" i="89"/>
  <c r="H61" i="60"/>
  <c r="H63" i="60"/>
  <c r="J43" i="60"/>
  <c r="J49" i="60"/>
  <c r="J55" i="60"/>
  <c r="I43" i="60"/>
  <c r="I49" i="60"/>
  <c r="I55" i="60"/>
  <c r="H66" i="60"/>
  <c r="H67" i="60"/>
  <c r="L53" i="89"/>
  <c r="L52" i="89"/>
  <c r="T30" i="89"/>
  <c r="I59" i="60"/>
  <c r="I58" i="60"/>
  <c r="T14" i="89"/>
  <c r="K53" i="89"/>
  <c r="K52" i="89"/>
  <c r="T29" i="89"/>
  <c r="J58" i="60"/>
  <c r="T15" i="89"/>
  <c r="J59" i="60"/>
  <c r="S30" i="89"/>
  <c r="S29" i="89"/>
  <c r="S15" i="89"/>
  <c r="S14" i="89"/>
  <c r="I56" i="60"/>
  <c r="J56" i="60"/>
  <c r="H64" i="60"/>
  <c r="J61" i="60"/>
  <c r="J63" i="60"/>
  <c r="I61" i="60"/>
  <c r="I63" i="60"/>
  <c r="R25" i="52"/>
  <c r="R24" i="52"/>
  <c r="R23" i="52"/>
  <c r="R22" i="52"/>
  <c r="R21" i="52"/>
  <c r="R20" i="52"/>
  <c r="R19" i="52"/>
  <c r="R18" i="52"/>
  <c r="R17" i="52"/>
  <c r="R26" i="52"/>
  <c r="R16" i="52"/>
  <c r="R15" i="52"/>
  <c r="R14" i="52"/>
  <c r="R13" i="52"/>
  <c r="R12" i="52"/>
  <c r="H26" i="48"/>
  <c r="F26" i="48"/>
  <c r="N7" i="50"/>
  <c r="N7" i="49"/>
  <c r="U30" i="89"/>
  <c r="O50" i="89"/>
  <c r="U15" i="89"/>
  <c r="O48" i="89"/>
  <c r="U20" i="89"/>
  <c r="O49" i="89"/>
  <c r="J66" i="60"/>
  <c r="J67" i="60"/>
  <c r="I67" i="60"/>
  <c r="I66" i="60"/>
  <c r="H59" i="89"/>
  <c r="I64" i="60"/>
  <c r="J64" i="60"/>
  <c r="E29" i="89"/>
  <c r="F29" i="89"/>
  <c r="G29" i="89"/>
  <c r="H29" i="89"/>
  <c r="I29" i="89"/>
  <c r="J29" i="89"/>
  <c r="K29" i="89"/>
  <c r="L29" i="89"/>
  <c r="E55" i="89"/>
  <c r="F55" i="89"/>
  <c r="G55" i="89"/>
  <c r="H55" i="89"/>
  <c r="I55" i="89"/>
  <c r="J55" i="89"/>
  <c r="K55" i="89"/>
  <c r="L55" i="89"/>
  <c r="E26" i="48"/>
  <c r="L9" i="46"/>
  <c r="G26" i="48"/>
  <c r="M9" i="46"/>
  <c r="I24" i="48"/>
  <c r="I23" i="48"/>
  <c r="I22" i="48"/>
  <c r="I21" i="48"/>
  <c r="I20" i="48"/>
  <c r="I19" i="48"/>
  <c r="I18" i="48"/>
  <c r="I17" i="48"/>
  <c r="I16" i="48"/>
  <c r="I15" i="48"/>
  <c r="I14" i="48"/>
  <c r="I13" i="48"/>
  <c r="I12" i="48"/>
  <c r="I26" i="48"/>
  <c r="I25" i="48"/>
  <c r="I11" i="48"/>
  <c r="X7" i="46"/>
  <c r="W9" i="46"/>
  <c r="U9" i="46"/>
  <c r="Q7" i="42"/>
  <c r="Q7" i="41"/>
  <c r="X42" i="40"/>
  <c r="E53" i="40"/>
  <c r="Y44" i="40"/>
  <c r="X46" i="40"/>
  <c r="E56" i="40"/>
  <c r="E59" i="40"/>
  <c r="AE53" i="1"/>
  <c r="I51" i="43"/>
  <c r="I50" i="43"/>
  <c r="I49" i="43"/>
  <c r="I43" i="43"/>
  <c r="I42" i="43"/>
  <c r="I41" i="43"/>
  <c r="M19" i="43"/>
  <c r="U7" i="42"/>
  <c r="S7" i="42"/>
  <c r="U7" i="41"/>
  <c r="S7" i="41"/>
  <c r="AA42" i="40"/>
  <c r="J53" i="40"/>
  <c r="AB42" i="40"/>
  <c r="J50" i="40"/>
  <c r="U50" i="40"/>
  <c r="J56" i="40"/>
  <c r="J59" i="40"/>
  <c r="F61" i="40"/>
  <c r="U59" i="40"/>
  <c r="S61" i="40"/>
  <c r="F59" i="51"/>
  <c r="L59" i="51"/>
  <c r="D42" i="43"/>
  <c r="G10" i="44"/>
  <c r="G14" i="44"/>
  <c r="F42" i="43"/>
  <c r="G33" i="85"/>
  <c r="R59" i="51"/>
  <c r="U27" i="51"/>
  <c r="D43" i="43"/>
  <c r="D49" i="43"/>
  <c r="D51" i="43"/>
  <c r="L8" i="46"/>
  <c r="M42" i="43"/>
  <c r="T9" i="46"/>
  <c r="F43" i="43"/>
  <c r="F49" i="43"/>
  <c r="F51" i="43"/>
  <c r="M8" i="46"/>
  <c r="O42" i="43"/>
  <c r="V9" i="46"/>
  <c r="I33" i="85"/>
  <c r="I34" i="85"/>
  <c r="I36" i="85"/>
  <c r="I38" i="85"/>
  <c r="G34" i="85"/>
  <c r="G36" i="85"/>
  <c r="G38" i="85"/>
  <c r="B49" i="84"/>
  <c r="G9" i="46"/>
  <c r="B48" i="84"/>
  <c r="E9" i="46"/>
  <c r="I39" i="85"/>
  <c r="B54" i="84"/>
  <c r="B50" i="84"/>
  <c r="B62" i="8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N15" authorId="0" shapeId="0" xr:uid="{00000000-0006-0000-0000-000001000000}">
      <text>
        <r>
          <rPr>
            <b/>
            <sz val="8"/>
            <color indexed="81"/>
            <rFont val="Tahoma"/>
            <family val="2"/>
          </rPr>
          <t>&lt;[[TCDeals] - [TC Property Current Stage (Seq: 1)] Census Tract - Send]&gt;</t>
        </r>
      </text>
    </comment>
    <comment ref="Y16" authorId="0" shapeId="0" xr:uid="{00000000-0006-0000-0000-000002000000}">
      <text>
        <r>
          <rPr>
            <b/>
            <sz val="8"/>
            <color indexed="81"/>
            <rFont val="Tahoma"/>
            <family val="2"/>
          </rPr>
          <t>&lt;[[TCDeals] - [TC Property Current Stage (Seq: 1)] Address 1 - Send]&gt;</t>
        </r>
      </text>
    </comment>
    <comment ref="AF16" authorId="0" shapeId="0" xr:uid="{00000000-0006-0000-0000-000003000000}">
      <text>
        <r>
          <rPr>
            <b/>
            <sz val="8"/>
            <color indexed="81"/>
            <rFont val="Tahoma"/>
            <family val="2"/>
          </rPr>
          <t>&lt;[[TCDeals] - [TC Property Current Stage (Seq: 1)] City - Send]&gt;</t>
        </r>
      </text>
    </comment>
    <comment ref="AI16" authorId="0" shapeId="0" xr:uid="{00000000-0006-0000-0000-000004000000}">
      <text>
        <r>
          <rPr>
            <b/>
            <sz val="8"/>
            <color indexed="81"/>
            <rFont val="Tahoma"/>
            <family val="2"/>
          </rPr>
          <t>&lt;[[TCDeals] - [TC Property Current Stage (Seq: 1)] Jurisdiction - Send]&gt;</t>
        </r>
      </text>
    </comment>
    <comment ref="AL16" authorId="0" shapeId="0" xr:uid="{00000000-0006-0000-0000-000005000000}">
      <text>
        <r>
          <rPr>
            <b/>
            <sz val="8"/>
            <color indexed="81"/>
            <rFont val="Tahoma"/>
            <family val="2"/>
          </rPr>
          <t>&lt;[[TCDeals] - [TC Property Current Stage (Seq: 1)] State - Send]&gt;</t>
        </r>
      </text>
    </comment>
    <comment ref="AN16" authorId="0" shapeId="0" xr:uid="{00000000-0006-0000-0000-000006000000}">
      <text>
        <r>
          <rPr>
            <b/>
            <sz val="8"/>
            <color indexed="81"/>
            <rFont val="Tahoma"/>
            <family val="2"/>
          </rPr>
          <t>&lt;[[TCDeals] - [TC Property Current Stage (Seq: 1)] Zip Code - Send]&gt;</t>
        </r>
      </text>
    </comment>
    <comment ref="Y32" authorId="0" shapeId="0" xr:uid="{00000000-0006-0000-0000-000009000000}">
      <text>
        <r>
          <rPr>
            <b/>
            <sz val="8"/>
            <color indexed="81"/>
            <rFont val="Tahoma"/>
            <family val="2"/>
          </rPr>
          <t>&lt;[[TCDeals] - [TC Property Current Stage (Seq: 1)] Owner Name - Send]&gt;</t>
        </r>
      </text>
    </comment>
    <comment ref="AK32" authorId="0" shapeId="0" xr:uid="{00000000-0006-0000-0000-00000A000000}">
      <text>
        <r>
          <rPr>
            <b/>
            <sz val="8"/>
            <color indexed="81"/>
            <rFont val="Tahoma"/>
            <family val="2"/>
          </rPr>
          <t>&lt;[[TCDeals] - [TC Property Current Stage (Seq: 1)] Ownership Type - Send]&gt;</t>
        </r>
      </text>
    </comment>
    <comment ref="Y33" authorId="0" shapeId="0" xr:uid="{00000000-0006-0000-0000-00000B000000}">
      <text>
        <r>
          <rPr>
            <b/>
            <sz val="8"/>
            <color indexed="81"/>
            <rFont val="Tahoma"/>
            <family val="2"/>
          </rPr>
          <t>&lt;[[TCDeals] - [TC Property Current Stage (Seq: 1)] Owner Address - Send]&gt;</t>
        </r>
      </text>
    </comment>
    <comment ref="AF33" authorId="0" shapeId="0" xr:uid="{00000000-0006-0000-0000-00000C000000}">
      <text>
        <r>
          <rPr>
            <b/>
            <sz val="8"/>
            <color indexed="81"/>
            <rFont val="Tahoma"/>
            <family val="2"/>
          </rPr>
          <t>&lt;[[TCDeals] - [TC Property Current Stage (Seq: 1)] Owner City - Send]&gt;</t>
        </r>
      </text>
    </comment>
    <comment ref="AI33" authorId="0" shapeId="0" xr:uid="{00000000-0006-0000-0000-00000D000000}">
      <text>
        <r>
          <rPr>
            <b/>
            <sz val="8"/>
            <color indexed="81"/>
            <rFont val="Tahoma"/>
            <family val="2"/>
          </rPr>
          <t>&lt;[[TCDeals] - [TC Property Current Stage (Seq: 1)] Owner State - Send]&gt;</t>
        </r>
      </text>
    </comment>
    <comment ref="AL33" authorId="0" shapeId="0" xr:uid="{00000000-0006-0000-0000-00000E000000}">
      <text>
        <r>
          <rPr>
            <b/>
            <sz val="8"/>
            <color indexed="81"/>
            <rFont val="Tahoma"/>
            <family val="2"/>
          </rPr>
          <t>&lt;[[TCDeals] - [TC Property Current Stage (Seq: 1)] Owner Zip - Send]&gt;</t>
        </r>
      </text>
    </comment>
    <comment ref="Y36" authorId="0" shapeId="0" xr:uid="{00000000-0006-0000-0000-00000F000000}">
      <text>
        <r>
          <rPr>
            <b/>
            <sz val="8"/>
            <color indexed="81"/>
            <rFont val="Tahoma"/>
            <family val="2"/>
          </rPr>
          <t>&lt;[[TCDeals] - [TC Property Current Stage (Seq: 1)] Owner Contact First Name - Send]&gt;</t>
        </r>
      </text>
    </comment>
    <comment ref="AB36" authorId="0" shapeId="0" xr:uid="{00000000-0006-0000-0000-000010000000}">
      <text>
        <r>
          <rPr>
            <b/>
            <sz val="8"/>
            <color indexed="81"/>
            <rFont val="Tahoma"/>
            <family val="2"/>
          </rPr>
          <t>&lt;[[TCDeals] - [TC Property Current Stage (Seq: 1)] Owner Contact Middle Name - Send]&gt;</t>
        </r>
      </text>
    </comment>
    <comment ref="AD36" authorId="0" shapeId="0" xr:uid="{00000000-0006-0000-0000-000011000000}">
      <text>
        <r>
          <rPr>
            <b/>
            <sz val="8"/>
            <color indexed="81"/>
            <rFont val="Tahoma"/>
            <family val="2"/>
          </rPr>
          <t>&lt;[[TCDeals] - [TC Property Current Stage (Seq: 1)] Owner Contact Last Name - Send]&gt;</t>
        </r>
      </text>
    </comment>
    <comment ref="AI36" authorId="0" shapeId="0" xr:uid="{00000000-0006-0000-0000-000012000000}">
      <text>
        <r>
          <rPr>
            <b/>
            <sz val="8"/>
            <color indexed="81"/>
            <rFont val="Tahoma"/>
            <family val="2"/>
          </rPr>
          <t>&lt;[[TCDeals] - [TC Property Current Stage (Seq: 1)] Owner Phone - Send]&gt;</t>
        </r>
      </text>
    </comment>
    <comment ref="AN36" authorId="0" shapeId="0" xr:uid="{00000000-0006-0000-0000-000013000000}">
      <text>
        <r>
          <rPr>
            <b/>
            <sz val="8"/>
            <color indexed="81"/>
            <rFont val="Tahoma"/>
            <family val="2"/>
          </rPr>
          <t>&lt;[[TCDeals] - [TC Property Current Stage (Seq: 1)] Owner Phone Ext - Send]&gt;</t>
        </r>
      </text>
    </comment>
    <comment ref="Y39" authorId="0" shapeId="0" xr:uid="{00000000-0006-0000-0000-000014000000}">
      <text>
        <r>
          <rPr>
            <b/>
            <sz val="8"/>
            <color indexed="81"/>
            <rFont val="Tahoma"/>
            <family val="2"/>
          </rPr>
          <t>&lt;[[TCDeals] - [TC Property Current Stage (Seq: 1)] Owner Email - Send]&gt;</t>
        </r>
      </text>
    </comment>
    <comment ref="Y41" authorId="0" shapeId="0" xr:uid="{00000000-0006-0000-0000-000015000000}">
      <text>
        <r>
          <rPr>
            <b/>
            <sz val="8"/>
            <color indexed="81"/>
            <rFont val="Tahoma"/>
            <family val="2"/>
          </rPr>
          <t>&lt;[[TCDeals] - [TC Property Current Stage (Seq: 1)] Owner Fed Tax Id Number - Send]&gt;</t>
        </r>
      </text>
    </comment>
    <comment ref="J53" authorId="0" shapeId="0" xr:uid="{00000000-0006-0000-0000-000016000000}">
      <text>
        <r>
          <rPr>
            <sz val="8"/>
            <color indexed="81"/>
            <rFont val="Tahoma"/>
            <family val="2"/>
          </rPr>
          <t>This should equal 100%.</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X8" authorId="0" shapeId="0" xr:uid="{00000000-0006-0000-0D00-000001000000}">
      <text>
        <r>
          <rPr>
            <b/>
            <sz val="9"/>
            <color indexed="81"/>
            <rFont val="Tahoma"/>
            <family val="2"/>
          </rPr>
          <t>&lt;[[TCDeals] - [TC Property Current Stage (Seq: 1)] Pre Allocated Amount - Send]&gt;</t>
        </r>
      </text>
    </comment>
    <comment ref="X9" authorId="0" shapeId="0" xr:uid="{00000000-0006-0000-0D00-000002000000}">
      <text>
        <r>
          <rPr>
            <b/>
            <sz val="9"/>
            <color indexed="81"/>
            <rFont val="Tahoma"/>
            <family val="2"/>
          </rPr>
          <t>&lt;[[TCDeals] - [TC Property Current Stage (Seq: 1)] Total Annual Credit Amount Request - Send]&gt;</t>
        </r>
      </text>
    </comment>
    <comment ref="W12" authorId="0" shapeId="0" xr:uid="{00000000-0006-0000-0D00-000003000000}">
      <text>
        <r>
          <rPr>
            <b/>
            <sz val="9"/>
            <color indexed="81"/>
            <rFont val="Tahoma"/>
            <family val="2"/>
          </rPr>
          <t>&lt;[[TCDeals] - [TC Property Current Stage (Seq: 1)] Tax Credit Percent Type - Send]&gt;</t>
        </r>
      </text>
    </comment>
    <comment ref="C14" authorId="1" shapeId="0" xr:uid="{F39B8DAE-1305-4651-85CD-1D54EFB3E48D}">
      <text>
        <r>
          <rPr>
            <sz val="9"/>
            <color indexed="81"/>
            <rFont val="Tahoma"/>
            <family val="2"/>
          </rPr>
          <t>For 9% applications, select Carryover Allocation. For 4% (TEB) applications, select Allocation in the Placed in Service Year.</t>
        </r>
      </text>
    </comment>
    <comment ref="W14" authorId="0" shapeId="0" xr:uid="{00000000-0006-0000-0D00-000004000000}">
      <text>
        <r>
          <rPr>
            <b/>
            <sz val="9"/>
            <color indexed="81"/>
            <rFont val="Tahoma"/>
            <family val="2"/>
          </rPr>
          <t>&lt;[[TCDeals] - [TC Property Current Stage (Seq: 1)] AllocType Requested - Send]&gt;</t>
        </r>
      </text>
    </comment>
    <comment ref="X19" authorId="0" shapeId="0" xr:uid="{00000000-0006-0000-0D00-000005000000}">
      <text>
        <r>
          <rPr>
            <b/>
            <sz val="9"/>
            <color indexed="81"/>
            <rFont val="Tahoma"/>
            <family val="2"/>
          </rPr>
          <t>&lt;[[TCDeals] - [TC Property Current Stage (Seq: 1)] Syndicator - Send]&gt;</t>
        </r>
      </text>
    </comment>
    <comment ref="I20" authorId="0" shapeId="0" xr:uid="{00000000-0006-0000-0D00-000006000000}">
      <text>
        <r>
          <rPr>
            <sz val="9"/>
            <color indexed="81"/>
            <rFont val="Tahoma"/>
            <family val="2"/>
          </rPr>
          <t>Date of the letter you sent to the Syndicator.</t>
        </r>
      </text>
    </comment>
    <comment ref="I23" authorId="0" shapeId="0" xr:uid="{00000000-0006-0000-0D00-000007000000}">
      <text>
        <r>
          <rPr>
            <sz val="9"/>
            <color indexed="81"/>
            <rFont val="Tahoma"/>
            <family val="2"/>
          </rPr>
          <t>Date of the response letter from the Syndicator.</t>
        </r>
      </text>
    </comment>
    <comment ref="X26" authorId="0" shapeId="0" xr:uid="{00000000-0006-0000-0D00-000008000000}">
      <text>
        <r>
          <rPr>
            <b/>
            <sz val="9"/>
            <color indexed="81"/>
            <rFont val="Tahoma"/>
            <family val="2"/>
          </rPr>
          <t>&lt;[[TCDeals] - [TC Property Current Stage (Seq: 1)] Annual Credit Required - Send]&gt;</t>
        </r>
      </text>
    </comment>
    <comment ref="I27" authorId="0" shapeId="0" xr:uid="{00000000-0006-0000-0D00-000009000000}">
      <text>
        <r>
          <rPr>
            <sz val="9"/>
            <color indexed="81"/>
            <rFont val="Tahoma"/>
            <family val="2"/>
          </rPr>
          <t>Annual Amount of TCD times 10 (years).</t>
        </r>
      </text>
    </comment>
    <comment ref="I28" authorId="0" shapeId="0" xr:uid="{00000000-0006-0000-0D00-00000A000000}">
      <text>
        <r>
          <rPr>
            <sz val="9"/>
            <color indexed="81"/>
            <rFont val="Tahoma"/>
            <family val="2"/>
          </rPr>
          <t>Percentage the Limited Partners will own (e.g. 99.99%).</t>
        </r>
      </text>
    </comment>
    <comment ref="X28" authorId="0" shapeId="0" xr:uid="{00000000-0006-0000-0D00-00000B000000}">
      <text>
        <r>
          <rPr>
            <b/>
            <sz val="9"/>
            <color indexed="81"/>
            <rFont val="Tahoma"/>
            <family val="2"/>
          </rPr>
          <t>&lt;[[TCDeals] - [TC Property Current Stage (Seq: 1)] Syndicator Ownership Pct - Send]&gt;</t>
        </r>
      </text>
    </comment>
    <comment ref="I29" authorId="0" shapeId="0" xr:uid="{00000000-0006-0000-0D00-00000C000000}">
      <text>
        <r>
          <rPr>
            <sz val="9"/>
            <color indexed="81"/>
            <rFont val="Tahoma"/>
            <family val="2"/>
          </rPr>
          <t>Aggregate Amount of TCD Syndicated times Percentage of TCD Syndicated.</t>
        </r>
      </text>
    </comment>
    <comment ref="Z29" authorId="0" shapeId="0" xr:uid="{00000000-0006-0000-0D00-00000D000000}">
      <text>
        <r>
          <rPr>
            <b/>
            <sz val="9"/>
            <color indexed="81"/>
            <rFont val="Tahoma"/>
            <family val="2"/>
          </rPr>
          <t>&lt;[[TCDeals] - [TC Property Current Stage (Seq: 1)] Net Syndicator Credit Amount - Send]&gt;</t>
        </r>
      </text>
    </comment>
    <comment ref="I31" authorId="0" shapeId="0" xr:uid="{00000000-0006-0000-0D00-00000E000000}">
      <text>
        <r>
          <rPr>
            <sz val="9"/>
            <color indexed="81"/>
            <rFont val="Tahoma"/>
            <family val="2"/>
          </rPr>
          <t>Net Syndication Proceeds plus Syndication Costs</t>
        </r>
      </text>
    </comment>
    <comment ref="X31" authorId="0" shapeId="0" xr:uid="{00000000-0006-0000-0D00-00000F000000}">
      <text>
        <r>
          <rPr>
            <b/>
            <sz val="9"/>
            <color indexed="81"/>
            <rFont val="Tahoma"/>
            <family val="2"/>
          </rPr>
          <t>&lt;[[TCDeals] - [TC Property Current Stage (Seq: 1)] Limited Ptr Contr - Send]&gt;</t>
        </r>
      </text>
    </comment>
    <comment ref="X32" authorId="0" shapeId="0" xr:uid="{00000000-0006-0000-0D00-000010000000}">
      <text>
        <r>
          <rPr>
            <b/>
            <sz val="9"/>
            <color indexed="81"/>
            <rFont val="Tahoma"/>
            <family val="2"/>
          </rPr>
          <t>&lt;[[TCDeals] - [TC Property Current Stage (Seq: 1)] Equity Dollars per Credit - Send]&gt;</t>
        </r>
      </text>
    </comment>
    <comment ref="I34" authorId="0" shapeId="0" xr:uid="{00000000-0006-0000-0D00-000011000000}">
      <text>
        <r>
          <rPr>
            <sz val="9"/>
            <color indexed="81"/>
            <rFont val="Tahoma"/>
            <family val="2"/>
          </rPr>
          <t>Equity from the Limited Partners.</t>
        </r>
      </text>
    </comment>
    <comment ref="I35" authorId="0" shapeId="0" xr:uid="{00000000-0006-0000-0D00-000012000000}">
      <text>
        <r>
          <rPr>
            <sz val="9"/>
            <color indexed="81"/>
            <rFont val="Tahoma"/>
            <family val="2"/>
          </rPr>
          <t>Price per TCD.</t>
        </r>
      </text>
    </comment>
    <comment ref="X42" authorId="0" shapeId="0" xr:uid="{00000000-0006-0000-0D00-000013000000}">
      <text>
        <r>
          <rPr>
            <b/>
            <sz val="9"/>
            <color indexed="81"/>
            <rFont val="Tahoma"/>
            <family val="2"/>
          </rPr>
          <t>&lt;[[TCDeals] - [TC Property Current Stage (Seq: 1)] Syn Costs Not Incl - Send]&gt;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AF12" authorId="0" shapeId="0" xr:uid="{00000000-0006-0000-0F00-000001000000}">
      <text>
        <r>
          <rPr>
            <b/>
            <sz val="9"/>
            <color indexed="81"/>
            <rFont val="Tahoma"/>
            <family val="2"/>
          </rPr>
          <t>&lt;[[TCDeals] - [TC Property Current Stage (Seq: 1)] - [Property Financing (Seq: 1)] Source Name - Send]&gt;</t>
        </r>
      </text>
    </comment>
    <comment ref="AO12" authorId="0" shapeId="0" xr:uid="{00000000-0006-0000-0F00-000002000000}">
      <text>
        <r>
          <rPr>
            <b/>
            <sz val="9"/>
            <color indexed="81"/>
            <rFont val="Tahoma"/>
            <family val="2"/>
          </rPr>
          <t>&lt;[[TCDeals] - [TC Property Current Stage (Seq: 1)] - [Property Financing (Seq: 1)] App Date - Send]&gt;</t>
        </r>
      </text>
    </comment>
    <comment ref="AQ12" authorId="0" shapeId="0" xr:uid="{00000000-0006-0000-0F00-000003000000}">
      <text>
        <r>
          <rPr>
            <b/>
            <sz val="9"/>
            <color indexed="81"/>
            <rFont val="Tahoma"/>
            <family val="2"/>
          </rPr>
          <t>&lt;[[TCDeals] - [TC Property Current Stage (Seq: 1)] - [Property Financing (Seq: 1)] Commitment Date - Send]&gt;</t>
        </r>
      </text>
    </comment>
    <comment ref="AT12" authorId="0" shapeId="0" xr:uid="{00000000-0006-0000-0F00-000004000000}">
      <text>
        <r>
          <rPr>
            <b/>
            <sz val="9"/>
            <color indexed="81"/>
            <rFont val="Tahoma"/>
            <family val="2"/>
          </rPr>
          <t>&lt;[[TCDeals] - [TC Property Current Stage (Seq: 1)] - [Property Financing (Seq: 1)] Amount - Send]&gt;</t>
        </r>
      </text>
    </comment>
    <comment ref="AF13" authorId="0" shapeId="0" xr:uid="{00000000-0006-0000-0F00-000005000000}">
      <text>
        <r>
          <rPr>
            <b/>
            <sz val="9"/>
            <color indexed="81"/>
            <rFont val="Tahoma"/>
            <family val="2"/>
          </rPr>
          <t>&lt;[[TCDeals] - [TC Property Current Stage (Seq: 1)] - [Property Financing (Seq: 2)] Source Name - Send]&gt;</t>
        </r>
      </text>
    </comment>
    <comment ref="AO13" authorId="0" shapeId="0" xr:uid="{00000000-0006-0000-0F00-000006000000}">
      <text>
        <r>
          <rPr>
            <b/>
            <sz val="9"/>
            <color indexed="81"/>
            <rFont val="Tahoma"/>
            <family val="2"/>
          </rPr>
          <t>&lt;[[TCDeals] - [TC Property Current Stage (Seq: 1)] - [Property Financing (Seq: 2)] App Date - Send]&gt;</t>
        </r>
      </text>
    </comment>
    <comment ref="AQ13" authorId="0" shapeId="0" xr:uid="{00000000-0006-0000-0F00-000007000000}">
      <text>
        <r>
          <rPr>
            <b/>
            <sz val="9"/>
            <color indexed="81"/>
            <rFont val="Tahoma"/>
            <family val="2"/>
          </rPr>
          <t>&lt;[[TCDeals] - [TC Property Current Stage (Seq: 1)] - [Property Financing (Seq: 2)] Commitment Date - Send]&gt;</t>
        </r>
      </text>
    </comment>
    <comment ref="AT13" authorId="0" shapeId="0" xr:uid="{00000000-0006-0000-0F00-000008000000}">
      <text>
        <r>
          <rPr>
            <b/>
            <sz val="9"/>
            <color indexed="81"/>
            <rFont val="Tahoma"/>
            <family val="2"/>
          </rPr>
          <t>&lt;[[TCDeals] - [TC Property Current Stage (Seq: 1)] - [Property Financing (Seq: 2)] Amount - Send]&gt;</t>
        </r>
      </text>
    </comment>
    <comment ref="AF14" authorId="0" shapeId="0" xr:uid="{00000000-0006-0000-0F00-000009000000}">
      <text>
        <r>
          <rPr>
            <b/>
            <sz val="9"/>
            <color indexed="81"/>
            <rFont val="Tahoma"/>
            <family val="2"/>
          </rPr>
          <t>&lt;[[TCDeals] - [TC Property Current Stage (Seq: 1)] - [Property Financing (Seq: 3)] Source Name - Send]&gt;</t>
        </r>
      </text>
    </comment>
    <comment ref="AO14" authorId="0" shapeId="0" xr:uid="{00000000-0006-0000-0F00-00000A000000}">
      <text>
        <r>
          <rPr>
            <b/>
            <sz val="9"/>
            <color indexed="81"/>
            <rFont val="Tahoma"/>
            <family val="2"/>
          </rPr>
          <t>&lt;[[TCDeals] - [TC Property Current Stage (Seq: 1)] - [Property Financing (Seq: 3)] App Date - Send]&gt;</t>
        </r>
      </text>
    </comment>
    <comment ref="AQ14" authorId="0" shapeId="0" xr:uid="{00000000-0006-0000-0F00-00000B000000}">
      <text>
        <r>
          <rPr>
            <b/>
            <sz val="9"/>
            <color indexed="81"/>
            <rFont val="Tahoma"/>
            <family val="2"/>
          </rPr>
          <t>&lt;[[TCDeals] - [TC Property Current Stage (Seq: 1)] - [Property Financing (Seq: 3)] Commitment Date - Send]&gt;</t>
        </r>
      </text>
    </comment>
    <comment ref="AT14" authorId="0" shapeId="0" xr:uid="{00000000-0006-0000-0F00-00000C000000}">
      <text>
        <r>
          <rPr>
            <b/>
            <sz val="9"/>
            <color indexed="81"/>
            <rFont val="Tahoma"/>
            <family val="2"/>
          </rPr>
          <t>&lt;[[TCDeals] - [TC Property Current Stage (Seq: 1)] - [Property Financing (Seq: 3)] Amount - Send]&gt;</t>
        </r>
      </text>
    </comment>
    <comment ref="AF15" authorId="0" shapeId="0" xr:uid="{00000000-0006-0000-0F00-00000D000000}">
      <text>
        <r>
          <rPr>
            <b/>
            <sz val="9"/>
            <color indexed="81"/>
            <rFont val="Tahoma"/>
            <family val="2"/>
          </rPr>
          <t>&lt;[[TCDeals] - [TC Property Current Stage (Seq: 1)] - [Property Financing (Seq: 4)] Source Name - Send]&gt;</t>
        </r>
      </text>
    </comment>
    <comment ref="AO15" authorId="0" shapeId="0" xr:uid="{00000000-0006-0000-0F00-00000E000000}">
      <text>
        <r>
          <rPr>
            <b/>
            <sz val="9"/>
            <color indexed="81"/>
            <rFont val="Tahoma"/>
            <family val="2"/>
          </rPr>
          <t>&lt;[[TCDeals] - [TC Property Current Stage (Seq: 1)] - [Property Financing (Seq: 4)] App Date - Send]&gt;</t>
        </r>
      </text>
    </comment>
    <comment ref="AQ15" authorId="0" shapeId="0" xr:uid="{00000000-0006-0000-0F00-00000F000000}">
      <text>
        <r>
          <rPr>
            <b/>
            <sz val="9"/>
            <color indexed="81"/>
            <rFont val="Tahoma"/>
            <family val="2"/>
          </rPr>
          <t>&lt;[[TCDeals] - [TC Property Current Stage (Seq: 1)] - [Property Financing (Seq: 4)] Commitment Date - Send]&gt;</t>
        </r>
      </text>
    </comment>
    <comment ref="AT15" authorId="0" shapeId="0" xr:uid="{00000000-0006-0000-0F00-000010000000}">
      <text>
        <r>
          <rPr>
            <b/>
            <sz val="9"/>
            <color indexed="81"/>
            <rFont val="Tahoma"/>
            <family val="2"/>
          </rPr>
          <t>&lt;[[TCDeals] - [TC Property Current Stage (Seq: 1)] - [Property Financing (Seq: 4)] Amount - Send]&gt;</t>
        </r>
      </text>
    </comment>
    <comment ref="AF16" authorId="0" shapeId="0" xr:uid="{00000000-0006-0000-0F00-000011000000}">
      <text>
        <r>
          <rPr>
            <b/>
            <sz val="9"/>
            <color indexed="81"/>
            <rFont val="Tahoma"/>
            <family val="2"/>
          </rPr>
          <t>&lt;[[TCDeals] - [TC Property Current Stage (Seq: 1)] - [Property Financing (Seq: 5)] Source Name - Send]&gt;</t>
        </r>
      </text>
    </comment>
    <comment ref="AO16" authorId="0" shapeId="0" xr:uid="{00000000-0006-0000-0F00-000012000000}">
      <text>
        <r>
          <rPr>
            <b/>
            <sz val="9"/>
            <color indexed="81"/>
            <rFont val="Tahoma"/>
            <family val="2"/>
          </rPr>
          <t>&lt;[[TCDeals] - [TC Property Current Stage (Seq: 1)] - [Property Financing (Seq: 5)] App Date - Send]&gt;</t>
        </r>
      </text>
    </comment>
    <comment ref="AQ16" authorId="0" shapeId="0" xr:uid="{00000000-0006-0000-0F00-000013000000}">
      <text>
        <r>
          <rPr>
            <b/>
            <sz val="9"/>
            <color indexed="81"/>
            <rFont val="Tahoma"/>
            <family val="2"/>
          </rPr>
          <t>&lt;[[TCDeals] - [TC Property Current Stage (Seq: 1)] - [Property Financing (Seq: 5)] Commitment Date - Send]&gt;</t>
        </r>
      </text>
    </comment>
    <comment ref="AT16" authorId="0" shapeId="0" xr:uid="{00000000-0006-0000-0F00-000014000000}">
      <text>
        <r>
          <rPr>
            <b/>
            <sz val="9"/>
            <color indexed="81"/>
            <rFont val="Tahoma"/>
            <family val="2"/>
          </rPr>
          <t>&lt;[[TCDeals] - [TC Property Current Stage (Seq: 1)] - [Property Financing (Seq: 5)] Amount - Send]&gt;</t>
        </r>
      </text>
    </comment>
    <comment ref="AF17" authorId="0" shapeId="0" xr:uid="{00000000-0006-0000-0F00-000015000000}">
      <text>
        <r>
          <rPr>
            <b/>
            <sz val="9"/>
            <color indexed="81"/>
            <rFont val="Tahoma"/>
            <family val="2"/>
          </rPr>
          <t>&lt;[[TCDeals] - [TC Property Current Stage (Seq: 1)] - [Property Financing (Seq: 6)] Source Name - Send]&gt;</t>
        </r>
      </text>
    </comment>
    <comment ref="AO17" authorId="0" shapeId="0" xr:uid="{00000000-0006-0000-0F00-000016000000}">
      <text>
        <r>
          <rPr>
            <b/>
            <sz val="9"/>
            <color indexed="81"/>
            <rFont val="Tahoma"/>
            <family val="2"/>
          </rPr>
          <t>&lt;[[TCDeals] - [TC Property Current Stage (Seq: 1)] - [Property Financing (Seq: 6)] App Date - Send]&gt;</t>
        </r>
      </text>
    </comment>
    <comment ref="AQ17" authorId="0" shapeId="0" xr:uid="{00000000-0006-0000-0F00-000017000000}">
      <text>
        <r>
          <rPr>
            <b/>
            <sz val="9"/>
            <color indexed="81"/>
            <rFont val="Tahoma"/>
            <family val="2"/>
          </rPr>
          <t>&lt;[[TCDeals] - [TC Property Current Stage (Seq: 1)] - [Property Financing (Seq: 6)] Commitment Date - Send]&gt;</t>
        </r>
      </text>
    </comment>
    <comment ref="AT17" authorId="0" shapeId="0" xr:uid="{00000000-0006-0000-0F00-000018000000}">
      <text>
        <r>
          <rPr>
            <b/>
            <sz val="9"/>
            <color indexed="81"/>
            <rFont val="Tahoma"/>
            <family val="2"/>
          </rPr>
          <t>&lt;[[TCDeals] - [TC Property Current Stage (Seq: 1)] - [Property Financing (Seq: 6)] Amount - Send]&gt;</t>
        </r>
      </text>
    </comment>
    <comment ref="AF18" authorId="0" shapeId="0" xr:uid="{00000000-0006-0000-0F00-000019000000}">
      <text>
        <r>
          <rPr>
            <b/>
            <sz val="9"/>
            <color indexed="81"/>
            <rFont val="Tahoma"/>
            <family val="2"/>
          </rPr>
          <t>&lt;[[TCDeals] - [TC Property Current Stage (Seq: 1)] - [Property Financing (Seq: 7)] Source Name - Send]&gt;</t>
        </r>
      </text>
    </comment>
    <comment ref="AO18" authorId="0" shapeId="0" xr:uid="{00000000-0006-0000-0F00-00001A000000}">
      <text>
        <r>
          <rPr>
            <b/>
            <sz val="9"/>
            <color indexed="81"/>
            <rFont val="Tahoma"/>
            <family val="2"/>
          </rPr>
          <t>&lt;[[TCDeals] - [TC Property Current Stage (Seq: 1)] - [Property Financing (Seq: 7)] App Date - Send]&gt;</t>
        </r>
      </text>
    </comment>
    <comment ref="AQ18" authorId="0" shapeId="0" xr:uid="{00000000-0006-0000-0F00-00001B000000}">
      <text>
        <r>
          <rPr>
            <b/>
            <sz val="9"/>
            <color indexed="81"/>
            <rFont val="Tahoma"/>
            <family val="2"/>
          </rPr>
          <t>&lt;[[TCDeals] - [TC Property Current Stage (Seq: 1)] - [Property Financing (Seq: 7)] Commitment Date - Send]&gt;</t>
        </r>
      </text>
    </comment>
    <comment ref="AT18" authorId="0" shapeId="0" xr:uid="{00000000-0006-0000-0F00-00001C000000}">
      <text>
        <r>
          <rPr>
            <b/>
            <sz val="9"/>
            <color indexed="81"/>
            <rFont val="Tahoma"/>
            <family val="2"/>
          </rPr>
          <t>&lt;[[TCDeals] - [TC Property Current Stage (Seq: 1)] - [Property Financing (Seq: 7)] Amount - Send]&gt;</t>
        </r>
      </text>
    </comment>
    <comment ref="AF19" authorId="0" shapeId="0" xr:uid="{00000000-0006-0000-0F00-00001D000000}">
      <text>
        <r>
          <rPr>
            <b/>
            <sz val="9"/>
            <color indexed="81"/>
            <rFont val="Tahoma"/>
            <family val="2"/>
          </rPr>
          <t>&lt;[[TCDeals] - [TC Property Current Stage (Seq: 1)] - [Property Financing (Seq: 8)] Source Name - Send]&gt;</t>
        </r>
      </text>
    </comment>
    <comment ref="AO19" authorId="0" shapeId="0" xr:uid="{00000000-0006-0000-0F00-00001E000000}">
      <text>
        <r>
          <rPr>
            <b/>
            <sz val="9"/>
            <color indexed="81"/>
            <rFont val="Tahoma"/>
            <family val="2"/>
          </rPr>
          <t>&lt;[[TCDeals] - [TC Property Current Stage (Seq: 1)] - [Property Financing (Seq: 8)] App Date - Send]&gt;</t>
        </r>
      </text>
    </comment>
    <comment ref="AQ19" authorId="0" shapeId="0" xr:uid="{00000000-0006-0000-0F00-00001F000000}">
      <text>
        <r>
          <rPr>
            <b/>
            <sz val="9"/>
            <color indexed="81"/>
            <rFont val="Tahoma"/>
            <family val="2"/>
          </rPr>
          <t>&lt;[[TCDeals] - [TC Property Current Stage (Seq: 1)] - [Property Financing (Seq: 8)] Commitment Date - Send]&gt;</t>
        </r>
      </text>
    </comment>
    <comment ref="AT19" authorId="0" shapeId="0" xr:uid="{00000000-0006-0000-0F00-000020000000}">
      <text>
        <r>
          <rPr>
            <b/>
            <sz val="9"/>
            <color indexed="81"/>
            <rFont val="Tahoma"/>
            <family val="2"/>
          </rPr>
          <t>&lt;[[TCDeals] - [TC Property Current Stage (Seq: 1)] - [Property Financing (Seq: 8)] Amount - Send]&gt;</t>
        </r>
      </text>
    </comment>
    <comment ref="AF20" authorId="0" shapeId="0" xr:uid="{00000000-0006-0000-0F00-000021000000}">
      <text>
        <r>
          <rPr>
            <b/>
            <sz val="9"/>
            <color indexed="81"/>
            <rFont val="Tahoma"/>
            <family val="2"/>
          </rPr>
          <t>&lt;[[TCDeals] - [TC Property Current Stage (Seq: 1)] - [Property Financing (Seq: 9)] Source Name - Send]&gt;</t>
        </r>
      </text>
    </comment>
    <comment ref="AO20" authorId="0" shapeId="0" xr:uid="{00000000-0006-0000-0F00-000022000000}">
      <text>
        <r>
          <rPr>
            <b/>
            <sz val="9"/>
            <color indexed="81"/>
            <rFont val="Tahoma"/>
            <family val="2"/>
          </rPr>
          <t>&lt;[[TCDeals] - [TC Property Current Stage (Seq: 1)] - [Property Financing (Seq: 9)] App Date - Send]&gt;</t>
        </r>
      </text>
    </comment>
    <comment ref="AQ20" authorId="0" shapeId="0" xr:uid="{00000000-0006-0000-0F00-000023000000}">
      <text>
        <r>
          <rPr>
            <b/>
            <sz val="9"/>
            <color indexed="81"/>
            <rFont val="Tahoma"/>
            <family val="2"/>
          </rPr>
          <t>&lt;[[TCDeals] - [TC Property Current Stage (Seq: 1)] - [Property Financing (Seq: 9)] Commitment Date - Send]&gt;</t>
        </r>
      </text>
    </comment>
    <comment ref="AT20" authorId="0" shapeId="0" xr:uid="{00000000-0006-0000-0F00-000024000000}">
      <text>
        <r>
          <rPr>
            <b/>
            <sz val="9"/>
            <color indexed="81"/>
            <rFont val="Tahoma"/>
            <family val="2"/>
          </rPr>
          <t>&lt;[[TCDeals] - [TC Property Current Stage (Seq: 1)] - [Property Financing (Seq: 9)] Amount - Send]&gt;</t>
        </r>
      </text>
    </comment>
    <comment ref="AF21" authorId="1" shapeId="0" xr:uid="{00000000-0006-0000-0F00-000025000000}">
      <text>
        <r>
          <rPr>
            <b/>
            <sz val="9"/>
            <color indexed="81"/>
            <rFont val="Tahoma"/>
            <family val="2"/>
          </rPr>
          <t>&lt;[[TCDeals] - [TC Property Current Stage (Seq: 1)] - [Property Financing (Seq: 10)] Source Name - Send]&gt;</t>
        </r>
      </text>
    </comment>
    <comment ref="AO21" authorId="1" shapeId="0" xr:uid="{00000000-0006-0000-0F00-000026000000}">
      <text>
        <r>
          <rPr>
            <b/>
            <sz val="9"/>
            <color indexed="81"/>
            <rFont val="Tahoma"/>
            <family val="2"/>
          </rPr>
          <t>&lt;[[TCDeals] - [TC Property Current Stage (Seq: 1)] - [Property Financing (Seq: 10)] App Date - Send]&gt;</t>
        </r>
      </text>
    </comment>
    <comment ref="AQ21" authorId="1" shapeId="0" xr:uid="{00000000-0006-0000-0F00-000027000000}">
      <text>
        <r>
          <rPr>
            <b/>
            <sz val="9"/>
            <color indexed="81"/>
            <rFont val="Tahoma"/>
            <family val="2"/>
          </rPr>
          <t>&lt;[[TCDeals] - [TC Property Current Stage (Seq: 1)] - [Property Financing (Seq: 10)] Commitment Date - Send]&gt;</t>
        </r>
      </text>
    </comment>
    <comment ref="AT21" authorId="0" shapeId="0" xr:uid="{00000000-0006-0000-0F00-000028000000}">
      <text>
        <r>
          <rPr>
            <b/>
            <sz val="9"/>
            <color indexed="81"/>
            <rFont val="Tahoma"/>
            <family val="2"/>
          </rPr>
          <t>&lt;[[TCDeals] - [TC Property Current Stage (Seq: 1)] - [Property Financing (Seq: 10)] Amount - Send]&gt;</t>
        </r>
      </text>
    </comment>
    <comment ref="AF22" authorId="1" shapeId="0" xr:uid="{00000000-0006-0000-0F00-000029000000}">
      <text>
        <r>
          <rPr>
            <b/>
            <sz val="9"/>
            <color indexed="81"/>
            <rFont val="Tahoma"/>
            <family val="2"/>
          </rPr>
          <t>&lt;[[TCDeals] - [TC Property Current Stage (Seq: 1)] - [Property Financing (Seq: 11)] Source Name - Send]&gt;</t>
        </r>
      </text>
    </comment>
    <comment ref="AO22" authorId="1" shapeId="0" xr:uid="{00000000-0006-0000-0F00-00002A000000}">
      <text>
        <r>
          <rPr>
            <b/>
            <sz val="9"/>
            <color indexed="81"/>
            <rFont val="Tahoma"/>
            <family val="2"/>
          </rPr>
          <t>&lt;[[TCDeals] - [TC Property Current Stage (Seq: 1)] - [Property Financing (Seq: 11)] App Date - Send]&gt;</t>
        </r>
      </text>
    </comment>
    <comment ref="AQ22" authorId="1" shapeId="0" xr:uid="{00000000-0006-0000-0F00-00002B000000}">
      <text>
        <r>
          <rPr>
            <b/>
            <sz val="9"/>
            <color indexed="81"/>
            <rFont val="Tahoma"/>
            <family val="2"/>
          </rPr>
          <t>&lt;[[TCDeals] - [TC Property Current Stage (Seq: 1)] - [Property Financing (Seq: 11)] Commitment Date - Send]&gt;</t>
        </r>
      </text>
    </comment>
    <comment ref="AT22" authorId="1" shapeId="0" xr:uid="{00000000-0006-0000-0F00-00002C000000}">
      <text>
        <r>
          <rPr>
            <b/>
            <sz val="9"/>
            <color indexed="81"/>
            <rFont val="Tahoma"/>
            <family val="2"/>
          </rPr>
          <t>&lt;[[TCDeals] - [TC Property Current Stage (Seq: 1)] - [Property Financing (Seq: 11)] Amount - Send]&gt;</t>
        </r>
      </text>
    </comment>
    <comment ref="AT23" authorId="0" shapeId="0" xr:uid="{00000000-0006-0000-0F00-00002D000000}">
      <text>
        <r>
          <rPr>
            <b/>
            <sz val="9"/>
            <color indexed="81"/>
            <rFont val="Tahoma"/>
            <family val="2"/>
          </rPr>
          <t>&lt;[[TCDeals] - [TC Property Current Stage (Seq: 1)] Deferred Dev Fee - Send]&gt;</t>
        </r>
      </text>
    </comment>
    <comment ref="AT25" authorId="0" shapeId="0" xr:uid="{00000000-0006-0000-0F00-00002E000000}">
      <text>
        <r>
          <rPr>
            <b/>
            <sz val="9"/>
            <color indexed="81"/>
            <rFont val="Tahoma"/>
            <family val="2"/>
          </rPr>
          <t>&lt;[[TCDeals] - [TC Property Current Stage (Seq: 1)] Fed Historic Credit Net - Send]&gt;</t>
        </r>
      </text>
    </comment>
    <comment ref="AT26" authorId="0" shapeId="0" xr:uid="{00000000-0006-0000-0F00-00002F000000}">
      <text>
        <r>
          <rPr>
            <b/>
            <sz val="9"/>
            <color indexed="81"/>
            <rFont val="Tahoma"/>
            <family val="2"/>
          </rPr>
          <t>&lt;[[TCDeals] - [TC Property Current Stage (Seq: 1)] HFA Historic Credit Net - Send]&gt;</t>
        </r>
      </text>
    </comment>
    <comment ref="AT27" authorId="0" shapeId="0" xr:uid="{00000000-0006-0000-0F00-000030000000}">
      <text>
        <r>
          <rPr>
            <b/>
            <sz val="9"/>
            <color indexed="81"/>
            <rFont val="Tahoma"/>
            <family val="2"/>
          </rPr>
          <t>&lt;[[TCDeals] - [TC Property Current Stage (Seq: 1)] Cash Inv Equity - Send]&gt;</t>
        </r>
      </text>
    </comment>
    <comment ref="R28" authorId="0" shapeId="0" xr:uid="{00000000-0006-0000-0F00-000031000000}">
      <text>
        <r>
          <rPr>
            <sz val="9"/>
            <color indexed="81"/>
            <rFont val="Tahoma"/>
            <family val="2"/>
          </rPr>
          <t xml:space="preserve">Net proceeds amount from page 7.
</t>
        </r>
      </text>
    </comment>
    <comment ref="AT28" authorId="0" shapeId="0" xr:uid="{00000000-0006-0000-0F00-000032000000}">
      <text>
        <r>
          <rPr>
            <b/>
            <sz val="9"/>
            <color indexed="81"/>
            <rFont val="Tahoma"/>
            <family val="2"/>
          </rPr>
          <t>&lt;[[TCDeals] - [TC Property Current Stage (Seq: 1)] Equity Gap - Send]&gt;</t>
        </r>
      </text>
    </comment>
    <comment ref="R29" authorId="0" shapeId="0" xr:uid="{00000000-0006-0000-0F00-000033000000}">
      <text>
        <r>
          <rPr>
            <sz val="9"/>
            <color indexed="81"/>
            <rFont val="Tahoma"/>
            <family val="2"/>
          </rPr>
          <t>Total Sources of Funds must equal Total Property Costs in section C. below.</t>
        </r>
      </text>
    </comment>
    <comment ref="AF33" authorId="0" shapeId="0" xr:uid="{00000000-0006-0000-0F00-000034000000}">
      <text>
        <r>
          <rPr>
            <b/>
            <sz val="9"/>
            <color indexed="81"/>
            <rFont val="Tahoma"/>
            <family val="2"/>
          </rPr>
          <t>&lt;[[TCDeals] - [TC Property Current Stage (Seq: 1)] - [Property Financing (Seq: 1)] Contact Name - Send]&gt;</t>
        </r>
      </text>
    </comment>
    <comment ref="AL33" authorId="0" shapeId="0" xr:uid="{00000000-0006-0000-0F00-000035000000}">
      <text>
        <r>
          <rPr>
            <b/>
            <sz val="9"/>
            <color indexed="81"/>
            <rFont val="Tahoma"/>
            <family val="2"/>
          </rPr>
          <t>&lt;[[TCDeals] - [TC Property Current Stage (Seq: 1)] - [Property Financing (Seq: 1)] Interest Rate - Send]&gt;</t>
        </r>
      </text>
    </comment>
    <comment ref="AO33" authorId="0" shapeId="0" xr:uid="{00000000-0006-0000-0F00-000036000000}">
      <text>
        <r>
          <rPr>
            <b/>
            <sz val="9"/>
            <color indexed="81"/>
            <rFont val="Tahoma"/>
            <family val="2"/>
          </rPr>
          <t>&lt;[[TCDeals] - [TC Property Current Stage (Seq: 1)] - [Property Financing (Seq: 1)] Num Amort Years - Send]&gt;</t>
        </r>
      </text>
    </comment>
    <comment ref="AP33" authorId="0" shapeId="0" xr:uid="{00000000-0006-0000-0F00-000037000000}">
      <text>
        <r>
          <rPr>
            <b/>
            <sz val="9"/>
            <color indexed="81"/>
            <rFont val="Tahoma"/>
            <family val="2"/>
          </rPr>
          <t>&lt;[[TCDeals] - [TC Property Current Stage (Seq: 1)] - [Property Financing (Seq: 1)] Loan Term - Send]&gt;</t>
        </r>
      </text>
    </comment>
    <comment ref="AQ33" authorId="0" shapeId="0" xr:uid="{00000000-0006-0000-0F00-000038000000}">
      <text>
        <r>
          <rPr>
            <b/>
            <sz val="9"/>
            <color indexed="81"/>
            <rFont val="Tahoma"/>
            <family val="2"/>
          </rPr>
          <t>&lt;[[TCDeals] - [TC Property Current Stage (Seq: 1)] - [Property Financing (Seq: 1)] Financing Type - Send]&gt;</t>
        </r>
      </text>
    </comment>
    <comment ref="AT33" authorId="0" shapeId="0" xr:uid="{00000000-0006-0000-0F00-000039000000}">
      <text>
        <r>
          <rPr>
            <b/>
            <sz val="9"/>
            <color indexed="81"/>
            <rFont val="Tahoma"/>
            <family val="2"/>
          </rPr>
          <t>&lt;[[TCDeals] - [TC Property Current Stage (Seq: 1)] - [Property Financing (Seq: 1)] Annual Debt Svc Cost - Send]&gt;</t>
        </r>
      </text>
    </comment>
    <comment ref="AF34" authorId="0" shapeId="0" xr:uid="{00000000-0006-0000-0F00-00003A000000}">
      <text>
        <r>
          <rPr>
            <b/>
            <sz val="9"/>
            <color indexed="81"/>
            <rFont val="Tahoma"/>
            <family val="2"/>
          </rPr>
          <t>&lt;[[TCDeals] - [TC Property Current Stage (Seq: 1)] - [Property Financing (Seq: 2)] Contact Name - Send]&gt;</t>
        </r>
      </text>
    </comment>
    <comment ref="AL34" authorId="0" shapeId="0" xr:uid="{00000000-0006-0000-0F00-00003B000000}">
      <text>
        <r>
          <rPr>
            <b/>
            <sz val="9"/>
            <color indexed="81"/>
            <rFont val="Tahoma"/>
            <family val="2"/>
          </rPr>
          <t>&lt;[[TCDeals] - [TC Property Current Stage (Seq: 1)] - [Property Financing (Seq: 2)] Interest Rate - Send]&gt;</t>
        </r>
      </text>
    </comment>
    <comment ref="AO34" authorId="0" shapeId="0" xr:uid="{00000000-0006-0000-0F00-00003C000000}">
      <text>
        <r>
          <rPr>
            <b/>
            <sz val="9"/>
            <color indexed="81"/>
            <rFont val="Tahoma"/>
            <family val="2"/>
          </rPr>
          <t>&lt;[[TCDeals] - [TC Property Current Stage (Seq: 1)] - [Property Financing (Seq: 2)] Num Amort Years - Send]&gt;</t>
        </r>
      </text>
    </comment>
    <comment ref="AP34" authorId="0" shapeId="0" xr:uid="{00000000-0006-0000-0F00-00003D000000}">
      <text>
        <r>
          <rPr>
            <b/>
            <sz val="9"/>
            <color indexed="81"/>
            <rFont val="Tahoma"/>
            <family val="2"/>
          </rPr>
          <t>&lt;[[TCDeals] - [TC Property Current Stage (Seq: 1)] - [Property Financing (Seq: 2)] Loan Term - Send]&gt;</t>
        </r>
      </text>
    </comment>
    <comment ref="AQ34" authorId="0" shapeId="0" xr:uid="{00000000-0006-0000-0F00-00003E000000}">
      <text>
        <r>
          <rPr>
            <b/>
            <sz val="9"/>
            <color indexed="81"/>
            <rFont val="Tahoma"/>
            <family val="2"/>
          </rPr>
          <t>&lt;[[TCDeals] - [TC Property Current Stage (Seq: 1)] - [Property Financing (Seq: 2)] Financing Type - Send]&gt;</t>
        </r>
      </text>
    </comment>
    <comment ref="AT34" authorId="0" shapeId="0" xr:uid="{00000000-0006-0000-0F00-00003F000000}">
      <text>
        <r>
          <rPr>
            <b/>
            <sz val="9"/>
            <color indexed="81"/>
            <rFont val="Tahoma"/>
            <family val="2"/>
          </rPr>
          <t>&lt;[[TCDeals] - [TC Property Current Stage (Seq: 1)] - [Property Financing (Seq: 2)] Annual Debt Svc Cost - Send]&gt;</t>
        </r>
      </text>
    </comment>
    <comment ref="AF35" authorId="0" shapeId="0" xr:uid="{00000000-0006-0000-0F00-000040000000}">
      <text>
        <r>
          <rPr>
            <b/>
            <sz val="9"/>
            <color indexed="81"/>
            <rFont val="Tahoma"/>
            <family val="2"/>
          </rPr>
          <t>&lt;[[TCDeals] - [TC Property Current Stage (Seq: 1)] - [Property Financing (Seq: 3)] Contact Name - Send]&gt;</t>
        </r>
      </text>
    </comment>
    <comment ref="AL35" authorId="0" shapeId="0" xr:uid="{00000000-0006-0000-0F00-000041000000}">
      <text>
        <r>
          <rPr>
            <b/>
            <sz val="9"/>
            <color indexed="81"/>
            <rFont val="Tahoma"/>
            <family val="2"/>
          </rPr>
          <t>&lt;[[TCDeals] - [TC Property Current Stage (Seq: 1)] - [Property Financing (Seq: 3)] Interest Rate - Send]&gt;</t>
        </r>
      </text>
    </comment>
    <comment ref="AO35" authorId="0" shapeId="0" xr:uid="{00000000-0006-0000-0F00-000042000000}">
      <text>
        <r>
          <rPr>
            <b/>
            <sz val="9"/>
            <color indexed="81"/>
            <rFont val="Tahoma"/>
            <family val="2"/>
          </rPr>
          <t>&lt;[[TCDeals] - [TC Property Current Stage (Seq: 1)] - [Property Financing (Seq: 3)] Num Amort Years - Send]&gt;</t>
        </r>
      </text>
    </comment>
    <comment ref="AP35" authorId="0" shapeId="0" xr:uid="{00000000-0006-0000-0F00-000043000000}">
      <text>
        <r>
          <rPr>
            <b/>
            <sz val="9"/>
            <color indexed="81"/>
            <rFont val="Tahoma"/>
            <family val="2"/>
          </rPr>
          <t>&lt;[[TCDeals] - [TC Property Current Stage (Seq: 1)] - [Property Financing (Seq: 3)] Loan Term - Send]&gt;</t>
        </r>
      </text>
    </comment>
    <comment ref="AQ35" authorId="0" shapeId="0" xr:uid="{00000000-0006-0000-0F00-000044000000}">
      <text>
        <r>
          <rPr>
            <b/>
            <sz val="9"/>
            <color indexed="81"/>
            <rFont val="Tahoma"/>
            <family val="2"/>
          </rPr>
          <t>&lt;[[TCDeals] - [TC Property Current Stage (Seq: 1)] - [Property Financing (Seq: 3)] Financing Type - Send]&gt;</t>
        </r>
      </text>
    </comment>
    <comment ref="AT35" authorId="0" shapeId="0" xr:uid="{00000000-0006-0000-0F00-000045000000}">
      <text>
        <r>
          <rPr>
            <b/>
            <sz val="9"/>
            <color indexed="81"/>
            <rFont val="Tahoma"/>
            <family val="2"/>
          </rPr>
          <t>&lt;[[TCDeals] - [TC Property Current Stage (Seq: 1)] - [Property Financing (Seq: 3)] Annual Debt Svc Cost - Send]&gt;</t>
        </r>
      </text>
    </comment>
    <comment ref="AF36" authorId="0" shapeId="0" xr:uid="{00000000-0006-0000-0F00-000046000000}">
      <text>
        <r>
          <rPr>
            <b/>
            <sz val="9"/>
            <color indexed="81"/>
            <rFont val="Tahoma"/>
            <family val="2"/>
          </rPr>
          <t>&lt;[[TCDeals] - [TC Property Current Stage (Seq: 1)] - [Property Financing (Seq: 4)] Contact Name - Send]&gt;</t>
        </r>
      </text>
    </comment>
    <comment ref="AL36" authorId="0" shapeId="0" xr:uid="{00000000-0006-0000-0F00-000047000000}">
      <text>
        <r>
          <rPr>
            <b/>
            <sz val="9"/>
            <color indexed="81"/>
            <rFont val="Tahoma"/>
            <family val="2"/>
          </rPr>
          <t>&lt;[[TCDeals] - [TC Property Current Stage (Seq: 1)] - [Property Financing (Seq: 4)] Interest Rate - Send]&gt;</t>
        </r>
      </text>
    </comment>
    <comment ref="AO36" authorId="0" shapeId="0" xr:uid="{00000000-0006-0000-0F00-000048000000}">
      <text>
        <r>
          <rPr>
            <b/>
            <sz val="9"/>
            <color indexed="81"/>
            <rFont val="Tahoma"/>
            <family val="2"/>
          </rPr>
          <t>&lt;[[TCDeals] - [TC Property Current Stage (Seq: 1)] - [Property Financing (Seq: 4)] Num Amort Years - Send]&gt;</t>
        </r>
      </text>
    </comment>
    <comment ref="AP36" authorId="0" shapeId="0" xr:uid="{00000000-0006-0000-0F00-000049000000}">
      <text>
        <r>
          <rPr>
            <b/>
            <sz val="9"/>
            <color indexed="81"/>
            <rFont val="Tahoma"/>
            <family val="2"/>
          </rPr>
          <t>&lt;[[TCDeals] - [TC Property Current Stage (Seq: 1)] - [Property Financing (Seq: 4)] Loan Term - Send]&gt;</t>
        </r>
      </text>
    </comment>
    <comment ref="AQ36" authorId="0" shapeId="0" xr:uid="{00000000-0006-0000-0F00-00004A000000}">
      <text>
        <r>
          <rPr>
            <b/>
            <sz val="9"/>
            <color indexed="81"/>
            <rFont val="Tahoma"/>
            <family val="2"/>
          </rPr>
          <t>&lt;[[TCDeals] - [TC Property Current Stage (Seq: 1)] - [Property Financing (Seq: 4)] Financing Type - Send]&gt;</t>
        </r>
      </text>
    </comment>
    <comment ref="AT36" authorId="0" shapeId="0" xr:uid="{00000000-0006-0000-0F00-00004B000000}">
      <text>
        <r>
          <rPr>
            <b/>
            <sz val="9"/>
            <color indexed="81"/>
            <rFont val="Tahoma"/>
            <family val="2"/>
          </rPr>
          <t>&lt;[[TCDeals] - [TC Property Current Stage (Seq: 1)] - [Property Financing (Seq: 4)] Annual Debt Svc Cost - Send]&gt;</t>
        </r>
      </text>
    </comment>
    <comment ref="AF37" authorId="0" shapeId="0" xr:uid="{00000000-0006-0000-0F00-00004C000000}">
      <text>
        <r>
          <rPr>
            <b/>
            <sz val="9"/>
            <color indexed="81"/>
            <rFont val="Tahoma"/>
            <family val="2"/>
          </rPr>
          <t>&lt;[[TCDeals] - [TC Property Current Stage (Seq: 1)] - [Property Financing (Seq: 5)] Contact Name - Send]&gt;</t>
        </r>
      </text>
    </comment>
    <comment ref="AL37" authorId="0" shapeId="0" xr:uid="{00000000-0006-0000-0F00-00004D000000}">
      <text>
        <r>
          <rPr>
            <b/>
            <sz val="9"/>
            <color indexed="81"/>
            <rFont val="Tahoma"/>
            <family val="2"/>
          </rPr>
          <t>&lt;[[TCDeals] - [TC Property Current Stage (Seq: 1)] - [Property Financing (Seq: 5)] Interest Rate - Send]&gt;</t>
        </r>
      </text>
    </comment>
    <comment ref="AO37" authorId="0" shapeId="0" xr:uid="{00000000-0006-0000-0F00-00004E000000}">
      <text>
        <r>
          <rPr>
            <b/>
            <sz val="9"/>
            <color indexed="81"/>
            <rFont val="Tahoma"/>
            <family val="2"/>
          </rPr>
          <t>&lt;[[TCDeals] - [TC Property Current Stage (Seq: 1)] - [Property Financing (Seq: 5)] Num Amort Years - Send]&gt;</t>
        </r>
      </text>
    </comment>
    <comment ref="AP37" authorId="0" shapeId="0" xr:uid="{00000000-0006-0000-0F00-00004F000000}">
      <text>
        <r>
          <rPr>
            <b/>
            <sz val="9"/>
            <color indexed="81"/>
            <rFont val="Tahoma"/>
            <family val="2"/>
          </rPr>
          <t>&lt;[[TCDeals] - [TC Property Current Stage (Seq: 1)] - [Property Financing (Seq: 5)] Loan Term - Send]&gt;</t>
        </r>
      </text>
    </comment>
    <comment ref="AQ37" authorId="0" shapeId="0" xr:uid="{00000000-0006-0000-0F00-000050000000}">
      <text>
        <r>
          <rPr>
            <b/>
            <sz val="9"/>
            <color indexed="81"/>
            <rFont val="Tahoma"/>
            <family val="2"/>
          </rPr>
          <t>&lt;[[TCDeals] - [TC Property Current Stage (Seq: 1)] - [Property Financing (Seq: 5)] Financing Type - Send]&gt;</t>
        </r>
      </text>
    </comment>
    <comment ref="AT37" authorId="0" shapeId="0" xr:uid="{00000000-0006-0000-0F00-000051000000}">
      <text>
        <r>
          <rPr>
            <b/>
            <sz val="9"/>
            <color indexed="81"/>
            <rFont val="Tahoma"/>
            <family val="2"/>
          </rPr>
          <t>&lt;[[TCDeals] - [TC Property Current Stage (Seq: 1)] - [Property Financing (Seq: 5)] Annual Debt Svc Cost - Send]&gt;</t>
        </r>
      </text>
    </comment>
    <comment ref="AF38" authorId="0" shapeId="0" xr:uid="{00000000-0006-0000-0F00-000052000000}">
      <text>
        <r>
          <rPr>
            <b/>
            <sz val="9"/>
            <color indexed="81"/>
            <rFont val="Tahoma"/>
            <family val="2"/>
          </rPr>
          <t>&lt;[[TCDeals] - [TC Property Current Stage (Seq: 1)] - [Property Financing (Seq: 6)] Contact Name - Send]&gt;</t>
        </r>
      </text>
    </comment>
    <comment ref="AL38" authorId="0" shapeId="0" xr:uid="{00000000-0006-0000-0F00-000053000000}">
      <text>
        <r>
          <rPr>
            <b/>
            <sz val="9"/>
            <color indexed="81"/>
            <rFont val="Tahoma"/>
            <family val="2"/>
          </rPr>
          <t>&lt;[[TCDeals] - [TC Property Current Stage (Seq: 1)] - [Property Financing (Seq: 6)] Interest Rate - Send]&gt;</t>
        </r>
      </text>
    </comment>
    <comment ref="AO38" authorId="0" shapeId="0" xr:uid="{00000000-0006-0000-0F00-000054000000}">
      <text>
        <r>
          <rPr>
            <b/>
            <sz val="9"/>
            <color indexed="81"/>
            <rFont val="Tahoma"/>
            <family val="2"/>
          </rPr>
          <t>&lt;[[TCDeals] - [TC Property Current Stage (Seq: 1)] - [Property Financing (Seq: 6)] Num Amort Years - Send]&gt;</t>
        </r>
      </text>
    </comment>
    <comment ref="AP38" authorId="0" shapeId="0" xr:uid="{00000000-0006-0000-0F00-000055000000}">
      <text>
        <r>
          <rPr>
            <b/>
            <sz val="9"/>
            <color indexed="81"/>
            <rFont val="Tahoma"/>
            <family val="2"/>
          </rPr>
          <t>&lt;[[TCDeals] - [TC Property Current Stage (Seq: 1)] - [Property Financing (Seq: 6)] Loan Term - Send]&gt;</t>
        </r>
      </text>
    </comment>
    <comment ref="AQ38" authorId="0" shapeId="0" xr:uid="{00000000-0006-0000-0F00-000056000000}">
      <text>
        <r>
          <rPr>
            <b/>
            <sz val="9"/>
            <color indexed="81"/>
            <rFont val="Tahoma"/>
            <family val="2"/>
          </rPr>
          <t>&lt;[[TCDeals] - [TC Property Current Stage (Seq: 1)] - [Property Financing (Seq: 6)] Financing Type - Send]&gt;</t>
        </r>
      </text>
    </comment>
    <comment ref="AT38" authorId="0" shapeId="0" xr:uid="{00000000-0006-0000-0F00-000057000000}">
      <text>
        <r>
          <rPr>
            <b/>
            <sz val="9"/>
            <color indexed="81"/>
            <rFont val="Tahoma"/>
            <family val="2"/>
          </rPr>
          <t>&lt;[[TCDeals] - [TC Property Current Stage (Seq: 1)] - [Property Financing (Seq: 6)] Annual Debt Svc Cost - Send]&gt;</t>
        </r>
      </text>
    </comment>
    <comment ref="AF39" authorId="0" shapeId="0" xr:uid="{00000000-0006-0000-0F00-000058000000}">
      <text>
        <r>
          <rPr>
            <b/>
            <sz val="9"/>
            <color indexed="81"/>
            <rFont val="Tahoma"/>
            <family val="2"/>
          </rPr>
          <t>&lt;[[TCDeals] - [TC Property Current Stage (Seq: 1)] - [Property Financing (Seq: 7)] Contact Name - Send]&gt;</t>
        </r>
      </text>
    </comment>
    <comment ref="AL39" authorId="0" shapeId="0" xr:uid="{00000000-0006-0000-0F00-000059000000}">
      <text>
        <r>
          <rPr>
            <b/>
            <sz val="9"/>
            <color indexed="81"/>
            <rFont val="Tahoma"/>
            <family val="2"/>
          </rPr>
          <t>&lt;[[TCDeals] - [TC Property Current Stage (Seq: 1)] - [Property Financing (Seq: 7)] Interest Rate - Send]&gt;</t>
        </r>
      </text>
    </comment>
    <comment ref="AO39" authorId="0" shapeId="0" xr:uid="{00000000-0006-0000-0F00-00005A000000}">
      <text>
        <r>
          <rPr>
            <b/>
            <sz val="9"/>
            <color indexed="81"/>
            <rFont val="Tahoma"/>
            <family val="2"/>
          </rPr>
          <t>&lt;[[TCDeals] - [TC Property Current Stage (Seq: 1)] - [Property Financing (Seq: 7)] Num Amort Years - Send]&gt;</t>
        </r>
      </text>
    </comment>
    <comment ref="AP39" authorId="0" shapeId="0" xr:uid="{00000000-0006-0000-0F00-00005B000000}">
      <text>
        <r>
          <rPr>
            <b/>
            <sz val="9"/>
            <color indexed="81"/>
            <rFont val="Tahoma"/>
            <family val="2"/>
          </rPr>
          <t>&lt;[[TCDeals] - [TC Property Current Stage (Seq: 1)] - [Property Financing (Seq: 7)] Loan Term - Send]&gt;</t>
        </r>
      </text>
    </comment>
    <comment ref="AQ39" authorId="0" shapeId="0" xr:uid="{00000000-0006-0000-0F00-00005C000000}">
      <text>
        <r>
          <rPr>
            <b/>
            <sz val="9"/>
            <color indexed="81"/>
            <rFont val="Tahoma"/>
            <family val="2"/>
          </rPr>
          <t>&lt;[[TCDeals] - [TC Property Current Stage (Seq: 1)] - [Property Financing (Seq: 7)] Financing Type - Send]&gt;</t>
        </r>
      </text>
    </comment>
    <comment ref="AT39" authorId="0" shapeId="0" xr:uid="{00000000-0006-0000-0F00-00005D000000}">
      <text>
        <r>
          <rPr>
            <b/>
            <sz val="9"/>
            <color indexed="81"/>
            <rFont val="Tahoma"/>
            <family val="2"/>
          </rPr>
          <t>&lt;[[TCDeals] - [TC Property Current Stage (Seq: 1)] - [Property Financing (Seq: 7)] Annual Debt Svc Cost - Send]&gt;</t>
        </r>
      </text>
    </comment>
    <comment ref="AF40" authorId="0" shapeId="0" xr:uid="{00000000-0006-0000-0F00-00005E000000}">
      <text>
        <r>
          <rPr>
            <b/>
            <sz val="9"/>
            <color indexed="81"/>
            <rFont val="Tahoma"/>
            <family val="2"/>
          </rPr>
          <t>&lt;[[TCDeals] - [TC Property Current Stage (Seq: 1)] - [Property Financing (Seq: 8)] Contact Name - Send]&gt;</t>
        </r>
      </text>
    </comment>
    <comment ref="AL40" authorId="0" shapeId="0" xr:uid="{00000000-0006-0000-0F00-00005F000000}">
      <text>
        <r>
          <rPr>
            <b/>
            <sz val="9"/>
            <color indexed="81"/>
            <rFont val="Tahoma"/>
            <family val="2"/>
          </rPr>
          <t>&lt;[[TCDeals] - [TC Property Current Stage (Seq: 1)] - [Property Financing (Seq: 8)] Interest Rate - Send]&gt;</t>
        </r>
      </text>
    </comment>
    <comment ref="AO40" authorId="0" shapeId="0" xr:uid="{00000000-0006-0000-0F00-000060000000}">
      <text>
        <r>
          <rPr>
            <b/>
            <sz val="9"/>
            <color indexed="81"/>
            <rFont val="Tahoma"/>
            <family val="2"/>
          </rPr>
          <t>&lt;[[TCDeals] - [TC Property Current Stage (Seq: 1)] - [Property Financing (Seq: 8)] Num Amort Years - Send]&gt;</t>
        </r>
      </text>
    </comment>
    <comment ref="AP40" authorId="0" shapeId="0" xr:uid="{00000000-0006-0000-0F00-000061000000}">
      <text>
        <r>
          <rPr>
            <b/>
            <sz val="9"/>
            <color indexed="81"/>
            <rFont val="Tahoma"/>
            <family val="2"/>
          </rPr>
          <t>&lt;[[TCDeals] - [TC Property Current Stage (Seq: 1)] - [Property Financing (Seq: 8)] Loan Term - Send]&gt;</t>
        </r>
      </text>
    </comment>
    <comment ref="AQ40" authorId="0" shapeId="0" xr:uid="{00000000-0006-0000-0F00-000062000000}">
      <text>
        <r>
          <rPr>
            <b/>
            <sz val="9"/>
            <color indexed="81"/>
            <rFont val="Tahoma"/>
            <family val="2"/>
          </rPr>
          <t>&lt;[[TCDeals] - [TC Property Current Stage (Seq: 1)] - [Property Financing (Seq: 8)] Financing Type - Send]&gt;</t>
        </r>
      </text>
    </comment>
    <comment ref="AT40" authorId="0" shapeId="0" xr:uid="{00000000-0006-0000-0F00-000063000000}">
      <text>
        <r>
          <rPr>
            <b/>
            <sz val="9"/>
            <color indexed="81"/>
            <rFont val="Tahoma"/>
            <family val="2"/>
          </rPr>
          <t>&lt;[[TCDeals] - [TC Property Current Stage (Seq: 1)] - [Property Financing (Seq: 8)] Annual Debt Svc Cost - Send]&gt;</t>
        </r>
      </text>
    </comment>
    <comment ref="AF41" authorId="0" shapeId="0" xr:uid="{00000000-0006-0000-0F00-000064000000}">
      <text>
        <r>
          <rPr>
            <b/>
            <sz val="9"/>
            <color indexed="81"/>
            <rFont val="Tahoma"/>
            <family val="2"/>
          </rPr>
          <t>&lt;[[TCDeals] - [TC Property Current Stage (Seq: 1)] - [Property Financing (Seq: 9)] Contact Name - Send]&gt;</t>
        </r>
      </text>
    </comment>
    <comment ref="AL41" authorId="0" shapeId="0" xr:uid="{00000000-0006-0000-0F00-000065000000}">
      <text>
        <r>
          <rPr>
            <b/>
            <sz val="9"/>
            <color indexed="81"/>
            <rFont val="Tahoma"/>
            <family val="2"/>
          </rPr>
          <t>&lt;[[TCDeals] - [TC Property Current Stage (Seq: 1)] - [Property Financing (Seq: 9)] Interest Rate - Send]&gt;</t>
        </r>
      </text>
    </comment>
    <comment ref="AO41" authorId="0" shapeId="0" xr:uid="{00000000-0006-0000-0F00-000066000000}">
      <text>
        <r>
          <rPr>
            <b/>
            <sz val="9"/>
            <color indexed="81"/>
            <rFont val="Tahoma"/>
            <family val="2"/>
          </rPr>
          <t>&lt;[[TCDeals] - [TC Property Current Stage (Seq: 1)] - [Property Financing (Seq: 9)] Num Amort Years - Send]&gt;</t>
        </r>
      </text>
    </comment>
    <comment ref="AP41" authorId="0" shapeId="0" xr:uid="{00000000-0006-0000-0F00-000067000000}">
      <text>
        <r>
          <rPr>
            <b/>
            <sz val="9"/>
            <color indexed="81"/>
            <rFont val="Tahoma"/>
            <family val="2"/>
          </rPr>
          <t>&lt;[[TCDeals] - [TC Property Current Stage (Seq: 1)] - [Property Financing (Seq: 9)] Loan Term - Send]&gt;</t>
        </r>
      </text>
    </comment>
    <comment ref="AQ41" authorId="0" shapeId="0" xr:uid="{00000000-0006-0000-0F00-000068000000}">
      <text>
        <r>
          <rPr>
            <b/>
            <sz val="9"/>
            <color indexed="81"/>
            <rFont val="Tahoma"/>
            <family val="2"/>
          </rPr>
          <t>&lt;[[TCDeals] - [TC Property Current Stage (Seq: 1)] - [Property Financing (Seq: 9)] Financing Type - Send]&gt;</t>
        </r>
      </text>
    </comment>
    <comment ref="AT41" authorId="0" shapeId="0" xr:uid="{00000000-0006-0000-0F00-000069000000}">
      <text>
        <r>
          <rPr>
            <b/>
            <sz val="9"/>
            <color indexed="81"/>
            <rFont val="Tahoma"/>
            <family val="2"/>
          </rPr>
          <t>&lt;[[TCDeals] - [TC Property Current Stage (Seq: 1)] - [Property Financing (Seq: 9)] Annual Debt Svc Cost - Send]&gt;</t>
        </r>
      </text>
    </comment>
    <comment ref="AF42" authorId="1" shapeId="0" xr:uid="{00000000-0006-0000-0F00-00006A000000}">
      <text>
        <r>
          <rPr>
            <b/>
            <sz val="9"/>
            <color indexed="81"/>
            <rFont val="Tahoma"/>
            <family val="2"/>
          </rPr>
          <t>&lt;[[TCDeals] - [TC Property Current Stage (Seq: 1)] - [Property Financing (Seq: 10)] Contact Name - Send]&gt;</t>
        </r>
      </text>
    </comment>
    <comment ref="AL42" authorId="1" shapeId="0" xr:uid="{00000000-0006-0000-0F00-00006B000000}">
      <text>
        <r>
          <rPr>
            <b/>
            <sz val="9"/>
            <color indexed="81"/>
            <rFont val="Tahoma"/>
            <family val="2"/>
          </rPr>
          <t>&lt;[[TCDeals] - [TC Property Current Stage (Seq: 1)] - [Property Financing (Seq: 10)] Interest Rate - Send]&gt;</t>
        </r>
      </text>
    </comment>
    <comment ref="AO42" authorId="1" shapeId="0" xr:uid="{00000000-0006-0000-0F00-00006C000000}">
      <text>
        <r>
          <rPr>
            <b/>
            <sz val="9"/>
            <color indexed="81"/>
            <rFont val="Tahoma"/>
            <family val="2"/>
          </rPr>
          <t>&lt;[[TCDeals] - [TC Property Current Stage (Seq: 1)] - [Property Financing (Seq: 10)] Num Amort Years - Send]&gt;</t>
        </r>
      </text>
    </comment>
    <comment ref="AP42" authorId="1" shapeId="0" xr:uid="{00000000-0006-0000-0F00-00006D000000}">
      <text>
        <r>
          <rPr>
            <b/>
            <sz val="9"/>
            <color indexed="81"/>
            <rFont val="Tahoma"/>
            <family val="2"/>
          </rPr>
          <t>&lt;[[TCDeals] - [TC Property Current Stage (Seq: 1)] - [Property Financing (Seq: 10)] Loan Term - Send]&gt;</t>
        </r>
      </text>
    </comment>
    <comment ref="AQ42" authorId="1" shapeId="0" xr:uid="{00000000-0006-0000-0F00-00006E000000}">
      <text>
        <r>
          <rPr>
            <b/>
            <sz val="9"/>
            <color indexed="81"/>
            <rFont val="Tahoma"/>
            <family val="2"/>
          </rPr>
          <t>&lt;[[TCDeals] - [TC Property Current Stage (Seq: 1)] - [Property Financing (Seq: 10)] Financing Type - Send]&gt;</t>
        </r>
      </text>
    </comment>
    <comment ref="AT42" authorId="1" shapeId="0" xr:uid="{00000000-0006-0000-0F00-00006F000000}">
      <text>
        <r>
          <rPr>
            <b/>
            <sz val="9"/>
            <color indexed="81"/>
            <rFont val="Tahoma"/>
            <family val="2"/>
          </rPr>
          <t>&lt;[[TCDeals] - [TC Property Current Stage (Seq: 1)] - [Property Financing (Seq: 10)] Annual Debt Svc Cost - Send]&gt;</t>
        </r>
      </text>
    </comment>
    <comment ref="AF43" authorId="1" shapeId="0" xr:uid="{00000000-0006-0000-0F00-000070000000}">
      <text>
        <r>
          <rPr>
            <b/>
            <sz val="9"/>
            <color indexed="81"/>
            <rFont val="Tahoma"/>
            <family val="2"/>
          </rPr>
          <t>&lt;[[TCDeals] - [TC Property Current Stage (Seq: 1)] - [Property Financing (Seq: 11)] Contact Name - Send]&gt;</t>
        </r>
      </text>
    </comment>
    <comment ref="AL43" authorId="1" shapeId="0" xr:uid="{00000000-0006-0000-0F00-000071000000}">
      <text>
        <r>
          <rPr>
            <b/>
            <sz val="9"/>
            <color indexed="81"/>
            <rFont val="Tahoma"/>
            <family val="2"/>
          </rPr>
          <t>&lt;[[TCDeals] - [TC Property Current Stage (Seq: 1)] - [Property Financing (Seq: 11)] Interest Rate - Send]&gt;</t>
        </r>
      </text>
    </comment>
    <comment ref="AO43" authorId="1" shapeId="0" xr:uid="{00000000-0006-0000-0F00-000072000000}">
      <text>
        <r>
          <rPr>
            <b/>
            <sz val="9"/>
            <color indexed="81"/>
            <rFont val="Tahoma"/>
            <family val="2"/>
          </rPr>
          <t>&lt;[[TCDeals] - [TC Property Current Stage (Seq: 1)] - [Property Financing (Seq: 11)] Num Amort Years - Send]&gt;</t>
        </r>
      </text>
    </comment>
    <comment ref="AP43" authorId="1" shapeId="0" xr:uid="{00000000-0006-0000-0F00-000073000000}">
      <text>
        <r>
          <rPr>
            <b/>
            <sz val="9"/>
            <color indexed="81"/>
            <rFont val="Tahoma"/>
            <family val="2"/>
          </rPr>
          <t>&lt;[[TCDeals] - [TC Property Current Stage (Seq: 1)] - [Property Financing (Seq: 11)] Loan Term - Send]&gt;</t>
        </r>
      </text>
    </comment>
    <comment ref="AQ43" authorId="1" shapeId="0" xr:uid="{00000000-0006-0000-0F00-000074000000}">
      <text>
        <r>
          <rPr>
            <b/>
            <sz val="9"/>
            <color indexed="81"/>
            <rFont val="Tahoma"/>
            <family val="2"/>
          </rPr>
          <t>&lt;[[TCDeals] - [TC Property Current Stage (Seq: 1)] - [Property Financing (Seq: 11)] Financing Type - Send]&gt;</t>
        </r>
      </text>
    </comment>
    <comment ref="AT43" authorId="1" shapeId="0" xr:uid="{00000000-0006-0000-0F00-000075000000}">
      <text>
        <r>
          <rPr>
            <b/>
            <sz val="9"/>
            <color indexed="81"/>
            <rFont val="Tahoma"/>
            <family val="2"/>
          </rPr>
          <t>&lt;[[TCDeals] - [TC Property Current Stage (Seq: 1)] - [Property Financing (Seq: 11)] Annual Debt Svc Cost - Send]&gt;</t>
        </r>
      </text>
    </comment>
    <comment ref="AV50" authorId="0" shapeId="0" xr:uid="{00000000-0006-0000-0F00-000076000000}">
      <text>
        <r>
          <rPr>
            <b/>
            <sz val="9"/>
            <color indexed="81"/>
            <rFont val="Tahoma"/>
            <family val="2"/>
          </rPr>
          <t>&lt;[[TCDeals] - [TC Property Current Stage (Seq: 1)] Total Grant Amount - Send]&gt;</t>
        </r>
      </text>
    </comment>
    <comment ref="F59" authorId="0" shapeId="0" xr:uid="{00000000-0006-0000-0F00-000077000000}">
      <text>
        <r>
          <rPr>
            <sz val="9"/>
            <color indexed="81"/>
            <rFont val="Tahoma"/>
            <family val="2"/>
          </rPr>
          <t>If there are no market rate units and no commercial rental units in the property, this will equal page 3, Line 32, Column 1.</t>
        </r>
      </text>
    </comment>
    <comment ref="O59" authorId="0" shapeId="0" xr:uid="{00000000-0006-0000-0F00-000078000000}">
      <text>
        <r>
          <rPr>
            <sz val="9"/>
            <color indexed="81"/>
            <rFont val="Tahoma"/>
            <family val="2"/>
          </rPr>
          <t>From page 3, Line 9, Column 1.</t>
        </r>
      </text>
    </comment>
    <comment ref="R59" authorId="0" shapeId="0" xr:uid="{00000000-0006-0000-0F00-000079000000}">
      <text>
        <r>
          <rPr>
            <sz val="9"/>
            <color indexed="81"/>
            <rFont val="Tahoma"/>
            <family val="2"/>
          </rPr>
          <t>This will equal page 3, Line 32, Column 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A36" authorId="0" shapeId="0" xr:uid="{00000000-0006-0000-1100-000001000000}">
      <text>
        <r>
          <rPr>
            <b/>
            <sz val="9"/>
            <color indexed="81"/>
            <rFont val="Tahoma"/>
            <family val="2"/>
          </rPr>
          <t>&lt;[[TCDeals] - [TC Property Current Stage (Seq: 1)] Total Allowance0 BR - Send]&gt;</t>
        </r>
      </text>
    </comment>
    <comment ref="AB36" authorId="0" shapeId="0" xr:uid="{00000000-0006-0000-1100-000002000000}">
      <text>
        <r>
          <rPr>
            <b/>
            <sz val="9"/>
            <color indexed="81"/>
            <rFont val="Tahoma"/>
            <family val="2"/>
          </rPr>
          <t>&lt;[[TCDeals] - [TC Property Current Stage (Seq: 1)] Total Allowance1 BR - Send]&gt;</t>
        </r>
      </text>
    </comment>
    <comment ref="AD36" authorId="0" shapeId="0" xr:uid="{00000000-0006-0000-1100-000003000000}">
      <text>
        <r>
          <rPr>
            <b/>
            <sz val="9"/>
            <color indexed="81"/>
            <rFont val="Tahoma"/>
            <family val="2"/>
          </rPr>
          <t>&lt;[[TCDeals] - [TC Property Current Stage (Seq: 1)] Total Allowance2 BR - Send]&gt;</t>
        </r>
      </text>
    </comment>
    <comment ref="AE36" authorId="0" shapeId="0" xr:uid="{00000000-0006-0000-1100-000004000000}">
      <text>
        <r>
          <rPr>
            <b/>
            <sz val="9"/>
            <color indexed="81"/>
            <rFont val="Tahoma"/>
            <family val="2"/>
          </rPr>
          <t>&lt;[[TCDeals] - [TC Property Current Stage (Seq: 1)] Total Allowance3 BR - Send]&gt;</t>
        </r>
      </text>
    </comment>
    <comment ref="AF36" authorId="0" shapeId="0" xr:uid="{00000000-0006-0000-1100-000005000000}">
      <text>
        <r>
          <rPr>
            <b/>
            <sz val="9"/>
            <color indexed="81"/>
            <rFont val="Tahoma"/>
            <family val="2"/>
          </rPr>
          <t>&lt;[[TCDeals] - [TC Property Current Stage (Seq: 1)] Total Allowance4 BR - Send]&gt;</t>
        </r>
      </text>
    </comment>
    <comment ref="M40" authorId="0" shapeId="0" xr:uid="{00000000-0006-0000-1100-000006000000}">
      <text>
        <r>
          <rPr>
            <sz val="9"/>
            <color indexed="81"/>
            <rFont val="Tahoma"/>
            <family val="2"/>
          </rPr>
          <t>This should be marked TRUE due to the fact that all LIHTCP properties must accept Section 8 - Certificates or Vouchers.</t>
        </r>
      </text>
    </comment>
    <comment ref="AD40" authorId="0" shapeId="0" xr:uid="{00000000-0006-0000-1100-000007000000}">
      <text>
        <r>
          <rPr>
            <b/>
            <sz val="9"/>
            <color indexed="81"/>
            <rFont val="Tahoma"/>
            <family val="2"/>
          </rPr>
          <t>&lt;[[TCDeals] - [TC Property Current Stage (Seq: 1)] Has Rental Assistance - Send]&gt;</t>
        </r>
      </text>
    </comment>
    <comment ref="C44" authorId="0" shapeId="0" xr:uid="{00000000-0006-0000-1100-000008000000}">
      <text>
        <r>
          <rPr>
            <sz val="9"/>
            <color indexed="81"/>
            <rFont val="Tahoma"/>
            <family val="2"/>
          </rPr>
          <t>This should be TRUE, unless the property has project based rental subsidy for 100% of the units.</t>
        </r>
      </text>
    </comment>
    <comment ref="T44" authorId="0" shapeId="0" xr:uid="{00000000-0006-0000-1100-000009000000}">
      <text>
        <r>
          <rPr>
            <b/>
            <sz val="9"/>
            <color indexed="81"/>
            <rFont val="Tahoma"/>
            <family val="2"/>
          </rPr>
          <t>&lt;[[TCDeals] - [TC Property Current Stage (Seq: 1)] Has S8 Certificates - Send]&gt;</t>
        </r>
      </text>
    </comment>
    <comment ref="C46" authorId="0" shapeId="0" xr:uid="{00000000-0006-0000-1100-00000A000000}">
      <text>
        <r>
          <rPr>
            <sz val="9"/>
            <color indexed="81"/>
            <rFont val="Tahoma"/>
            <family val="2"/>
          </rPr>
          <t xml:space="preserve">This should be TRUE, unless the property has project based rental subsidy for 100% of the units.
</t>
        </r>
      </text>
    </comment>
    <comment ref="T46" authorId="0" shapeId="0" xr:uid="{00000000-0006-0000-1100-00000B000000}">
      <text>
        <r>
          <rPr>
            <b/>
            <sz val="9"/>
            <color indexed="81"/>
            <rFont val="Tahoma"/>
            <family val="2"/>
          </rPr>
          <t>&lt;[[TCDeals] - [TC Property Current Stage (Seq: 1)] Has S8 Vouchers - Send]&gt;</t>
        </r>
      </text>
    </comment>
    <comment ref="T48" authorId="0" shapeId="0" xr:uid="{00000000-0006-0000-1100-00000C000000}">
      <text>
        <r>
          <rPr>
            <b/>
            <sz val="9"/>
            <color indexed="81"/>
            <rFont val="Tahoma"/>
            <family val="2"/>
          </rPr>
          <t>&lt;[[TCDeals] - [TC Property Current Stage (Seq: 1)] Is S8 Project Based - Send]&gt;</t>
        </r>
      </text>
    </comment>
    <comment ref="T50" authorId="0" shapeId="0" xr:uid="{00000000-0006-0000-1100-00000D000000}">
      <text>
        <r>
          <rPr>
            <b/>
            <sz val="9"/>
            <color indexed="81"/>
            <rFont val="Tahoma"/>
            <family val="2"/>
          </rPr>
          <t>&lt;[[TCDeals] - [TC Property Current Stage (Seq: 1)] Has RD 515 Assistance - Send]&gt;</t>
        </r>
      </text>
    </comment>
    <comment ref="T52" authorId="0" shapeId="0" xr:uid="{00000000-0006-0000-1100-00000E000000}">
      <text>
        <r>
          <rPr>
            <b/>
            <sz val="9"/>
            <color indexed="81"/>
            <rFont val="Tahoma"/>
            <family val="2"/>
          </rPr>
          <t>&lt;[[TCDeals] - [TC Property Current Stage (Seq: 1)] Is S8 Mod Rehab - Send]&gt;</t>
        </r>
      </text>
    </comment>
    <comment ref="T54" authorId="0" shapeId="0" xr:uid="{00000000-0006-0000-1100-00000F000000}">
      <text>
        <r>
          <rPr>
            <b/>
            <sz val="9"/>
            <color indexed="81"/>
            <rFont val="Tahoma"/>
            <family val="2"/>
          </rPr>
          <t>&lt;[[TCDeals] - [TC Property Current Stage (Seq: 1)] Has Other Assistance - Send]&gt;</t>
        </r>
      </text>
    </comment>
    <comment ref="AB62" authorId="0" shapeId="0" xr:uid="{00000000-0006-0000-1100-000010000000}">
      <text>
        <r>
          <rPr>
            <b/>
            <sz val="9"/>
            <color indexed="81"/>
            <rFont val="Tahoma"/>
            <family val="2"/>
          </rPr>
          <t>&lt;[[TCDeals] - [TC Property Current Stage (Seq: 1)] Num Units With Assistance - Send]&gt;</t>
        </r>
      </text>
    </comment>
    <comment ref="AB66" authorId="0" shapeId="0" xr:uid="{00000000-0006-0000-1100-000011000000}">
      <text>
        <r>
          <rPr>
            <b/>
            <sz val="9"/>
            <color indexed="81"/>
            <rFont val="Tahoma"/>
            <family val="2"/>
          </rPr>
          <t>&lt;[[TCDeals] - [TC Property Current Stage (Seq: 1)] Num Years In Assistance Contract - Send]&gt;</t>
        </r>
      </text>
    </comment>
    <comment ref="AB68" authorId="0" shapeId="0" xr:uid="{00000000-0006-0000-1100-000012000000}">
      <text>
        <r>
          <rPr>
            <b/>
            <sz val="9"/>
            <color indexed="81"/>
            <rFont val="Tahoma"/>
            <family val="2"/>
          </rPr>
          <t>&lt;[[TCDeals] - [TC Property Current Stage (Seq: 1)] Exp Date Assistance Contract - Send]&gt;</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L48" authorId="0" shapeId="0" xr:uid="{00000000-0006-0000-1400-000001000000}">
      <text>
        <r>
          <rPr>
            <b/>
            <sz val="9"/>
            <color indexed="81"/>
            <rFont val="Tahoma"/>
            <family val="2"/>
          </rPr>
          <t>&lt;[[TCDeals] - [TC Property Current Stage (Seq: 1)] Commercial Area Use - Send]&gt;</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9" authorId="0" shapeId="0" xr:uid="{00000000-0006-0000-1500-000001000000}">
      <text>
        <r>
          <rPr>
            <b/>
            <sz val="9"/>
            <color indexed="81"/>
            <rFont val="Tahoma"/>
            <family val="2"/>
          </rPr>
          <t>&lt;[[TCDeals] - [TC Property Current Stage (Seq: 1)] Oper Janitor Cleaning Payroll - Send]&gt;</t>
        </r>
      </text>
    </comment>
    <comment ref="R9" authorId="0" shapeId="0" xr:uid="{00000000-0006-0000-1500-000002000000}">
      <text>
        <r>
          <rPr>
            <b/>
            <sz val="9"/>
            <color indexed="81"/>
            <rFont val="Tahoma"/>
            <family val="2"/>
          </rPr>
          <t>&lt;[[TCDeals] - [TC Property Current Stage (Seq: 1)] Admin Adv Mrktg - Send]&gt;</t>
        </r>
      </text>
    </comment>
    <comment ref="N10" authorId="0" shapeId="0" xr:uid="{00000000-0006-0000-1500-000003000000}">
      <text>
        <r>
          <rPr>
            <b/>
            <sz val="9"/>
            <color indexed="81"/>
            <rFont val="Tahoma"/>
            <family val="2"/>
          </rPr>
          <t>&lt;[[TCDeals] - [TC Property Current Stage (Seq: 1)] Oper Janitor Cleaning Supplies - Send]&gt;</t>
        </r>
      </text>
    </comment>
    <comment ref="R10" authorId="0" shapeId="0" xr:uid="{00000000-0006-0000-1500-000004000000}">
      <text>
        <r>
          <rPr>
            <b/>
            <sz val="9"/>
            <color indexed="81"/>
            <rFont val="Tahoma"/>
            <family val="2"/>
          </rPr>
          <t>&lt;[[TCDeals] - [TC Property Current Stage (Seq: 1)] Admin Mgt Fee - Send]&gt;</t>
        </r>
      </text>
    </comment>
    <comment ref="N11" authorId="0" shapeId="0" xr:uid="{00000000-0006-0000-1500-000005000000}">
      <text>
        <r>
          <rPr>
            <b/>
            <sz val="9"/>
            <color indexed="81"/>
            <rFont val="Tahoma"/>
            <family val="2"/>
          </rPr>
          <t>&lt;[[TCDeals] - [TC Property Current Stage (Seq: 1)] Oper Security Payroll - Send]&gt;</t>
        </r>
      </text>
    </comment>
    <comment ref="R11" authorId="0" shapeId="0" xr:uid="{00000000-0006-0000-1500-000006000000}">
      <text>
        <r>
          <rPr>
            <b/>
            <sz val="9"/>
            <color indexed="81"/>
            <rFont val="Tahoma"/>
            <family val="2"/>
          </rPr>
          <t>&lt;[[TCDeals] - [TC Property Current Stage (Seq: 1)] Admin Mgt Salaries - Send]&gt;</t>
        </r>
      </text>
    </comment>
    <comment ref="N12" authorId="0" shapeId="0" xr:uid="{00000000-0006-0000-1500-000007000000}">
      <text>
        <r>
          <rPr>
            <b/>
            <sz val="9"/>
            <color indexed="81"/>
            <rFont val="Tahoma"/>
            <family val="2"/>
          </rPr>
          <t>&lt;[[TCDeals] - [TC Property Current Stage (Seq: 1)] Oper Grounds Payroll - Send]&gt;</t>
        </r>
      </text>
    </comment>
    <comment ref="R12" authorId="0" shapeId="0" xr:uid="{00000000-0006-0000-1500-000008000000}">
      <text>
        <r>
          <rPr>
            <b/>
            <sz val="9"/>
            <color indexed="81"/>
            <rFont val="Tahoma"/>
            <family val="2"/>
          </rPr>
          <t>&lt;[[TCDeals] - [TC Property Current Stage (Seq: 1)] Admin Office Salaries - Send]&gt;</t>
        </r>
      </text>
    </comment>
    <comment ref="N13" authorId="0" shapeId="0" xr:uid="{00000000-0006-0000-1500-000009000000}">
      <text>
        <r>
          <rPr>
            <b/>
            <sz val="9"/>
            <color indexed="81"/>
            <rFont val="Tahoma"/>
            <family val="2"/>
          </rPr>
          <t>&lt;[[TCDeals] - [TC Property Current Stage (Seq: 1)] Oper Grounds Supplies - Send]&gt;</t>
        </r>
      </text>
    </comment>
    <comment ref="R13" authorId="0" shapeId="0" xr:uid="{00000000-0006-0000-1500-00000A000000}">
      <text>
        <r>
          <rPr>
            <b/>
            <sz val="9"/>
            <color indexed="81"/>
            <rFont val="Tahoma"/>
            <family val="2"/>
          </rPr>
          <t>&lt;[[TCDeals] - [TC Property Current Stage (Seq: 1)] Admin Office Supplies - Send]&gt;</t>
        </r>
      </text>
    </comment>
    <comment ref="N14" authorId="0" shapeId="0" xr:uid="{00000000-0006-0000-1500-00000B000000}">
      <text>
        <r>
          <rPr>
            <b/>
            <sz val="9"/>
            <color indexed="81"/>
            <rFont val="Tahoma"/>
            <family val="2"/>
          </rPr>
          <t>&lt;[[TCDeals] - [TC Property Current Stage (Seq: 1)] Oper Maint Repair Payroll - Send]&gt;</t>
        </r>
      </text>
    </comment>
    <comment ref="R14" authorId="0" shapeId="0" xr:uid="{00000000-0006-0000-1500-00000C000000}">
      <text>
        <r>
          <rPr>
            <b/>
            <sz val="9"/>
            <color indexed="81"/>
            <rFont val="Tahoma"/>
            <family val="2"/>
          </rPr>
          <t>&lt;[[TCDeals] - [TC Property Current Stage (Seq: 1)] Admin Legal - Send]&gt;</t>
        </r>
      </text>
    </comment>
    <comment ref="N15" authorId="0" shapeId="0" xr:uid="{00000000-0006-0000-1500-00000D000000}">
      <text>
        <r>
          <rPr>
            <b/>
            <sz val="9"/>
            <color indexed="81"/>
            <rFont val="Tahoma"/>
            <family val="2"/>
          </rPr>
          <t>&lt;[[TCDeals] - [TC Property Current Stage (Seq: 1)] Oper Repairs Material - Send]&gt;</t>
        </r>
      </text>
    </comment>
    <comment ref="R15" authorId="0" shapeId="0" xr:uid="{00000000-0006-0000-1500-00000E000000}">
      <text>
        <r>
          <rPr>
            <b/>
            <sz val="9"/>
            <color indexed="81"/>
            <rFont val="Tahoma"/>
            <family val="2"/>
          </rPr>
          <t>&lt;[[TCDeals] - [TC Property Current Stage (Seq: 1)] Admin Auditing - Send]&gt;</t>
        </r>
      </text>
    </comment>
    <comment ref="N16" authorId="0" shapeId="0" xr:uid="{00000000-0006-0000-1500-00000F000000}">
      <text>
        <r>
          <rPr>
            <b/>
            <sz val="9"/>
            <color indexed="81"/>
            <rFont val="Tahoma"/>
            <family val="2"/>
          </rPr>
          <t>&lt;[[TCDeals] - [TC Property Current Stage (Seq: 1)] Oper Decorating Supplies - Send]&gt;</t>
        </r>
      </text>
    </comment>
    <comment ref="R16" authorId="0" shapeId="0" xr:uid="{00000000-0006-0000-1500-000010000000}">
      <text>
        <r>
          <rPr>
            <b/>
            <sz val="9"/>
            <color indexed="81"/>
            <rFont val="Tahoma"/>
            <family val="2"/>
          </rPr>
          <t>&lt;[[TCDeals] - [TC Property Current Stage (Seq: 1)] Admin Bookkeeping Fees - Send]&gt;</t>
        </r>
      </text>
    </comment>
    <comment ref="N17" authorId="0" shapeId="0" xr:uid="{00000000-0006-0000-1500-000011000000}">
      <text>
        <r>
          <rPr>
            <b/>
            <sz val="9"/>
            <color indexed="81"/>
            <rFont val="Tahoma"/>
            <family val="2"/>
          </rPr>
          <t>&lt;[[TCDeals] - [TC Property Current Stage (Seq: 1)] Oper Elevator Maint Contract - Send]&gt;</t>
        </r>
      </text>
    </comment>
    <comment ref="R17" authorId="0" shapeId="0" xr:uid="{00000000-0006-0000-1500-000012000000}">
      <text>
        <r>
          <rPr>
            <b/>
            <sz val="9"/>
            <color indexed="81"/>
            <rFont val="Tahoma"/>
            <family val="2"/>
          </rPr>
          <t>&lt;[[TCDeals] - [TC Property Current Stage (Seq: 1)] Admin Telephone Answering Svc - Send]&gt;</t>
        </r>
      </text>
    </comment>
    <comment ref="N18" authorId="0" shapeId="0" xr:uid="{00000000-0006-0000-1500-000013000000}">
      <text>
        <r>
          <rPr>
            <b/>
            <sz val="9"/>
            <color indexed="81"/>
            <rFont val="Tahoma"/>
            <family val="2"/>
          </rPr>
          <t>&lt;[[TCDeals] - [TC Property Current Stage (Seq: 1)] Oper Exterminating - Send]&gt;</t>
        </r>
      </text>
    </comment>
    <comment ref="R18" authorId="0" shapeId="0" xr:uid="{00000000-0006-0000-1500-000014000000}">
      <text>
        <r>
          <rPr>
            <b/>
            <sz val="9"/>
            <color indexed="81"/>
            <rFont val="Tahoma"/>
            <family val="2"/>
          </rPr>
          <t>&lt;[[TCDeals] - [TC Property Current Stage (Seq: 1)] Admin Tax Credit Monitoring Fee - Send]&gt;</t>
        </r>
      </text>
    </comment>
    <comment ref="N19" authorId="0" shapeId="0" xr:uid="{00000000-0006-0000-1500-000015000000}">
      <text>
        <r>
          <rPr>
            <b/>
            <sz val="9"/>
            <color indexed="81"/>
            <rFont val="Tahoma"/>
            <family val="2"/>
          </rPr>
          <t>&lt;[[TCDeals] - [TC Property Current Stage (Seq: 1)] Oper Heat Cool Maint Repair - Send]&gt;</t>
        </r>
      </text>
    </comment>
    <comment ref="R19" authorId="0" shapeId="0" xr:uid="{00000000-0006-0000-1500-000016000000}">
      <text>
        <r>
          <rPr>
            <b/>
            <sz val="9"/>
            <color indexed="81"/>
            <rFont val="Tahoma"/>
            <family val="2"/>
          </rPr>
          <t>&lt;[[TCDeals] - [TC Property Current Stage (Seq: 1)] Admin Misc - Send]&gt;</t>
        </r>
      </text>
    </comment>
    <comment ref="N20" authorId="0" shapeId="0" xr:uid="{00000000-0006-0000-1500-000017000000}">
      <text>
        <r>
          <rPr>
            <b/>
            <sz val="9"/>
            <color indexed="81"/>
            <rFont val="Tahoma"/>
            <family val="2"/>
          </rPr>
          <t>&lt;[[TCDeals] - [TC Property Current Stage (Seq: 1)] Oper Snow Removal - Send]&gt;</t>
        </r>
      </text>
    </comment>
    <comment ref="N21" authorId="0" shapeId="0" xr:uid="{00000000-0006-0000-1500-000018000000}">
      <text>
        <r>
          <rPr>
            <b/>
            <sz val="9"/>
            <color indexed="81"/>
            <rFont val="Tahoma"/>
            <family val="2"/>
          </rPr>
          <t>&lt;[[TCDeals] - [TC Property Current Stage (Seq: 1)] Oper Trash Removal - Send]&gt;</t>
        </r>
      </text>
    </comment>
    <comment ref="N22" authorId="0" shapeId="0" xr:uid="{00000000-0006-0000-1500-000019000000}">
      <text>
        <r>
          <rPr>
            <b/>
            <sz val="9"/>
            <color indexed="81"/>
            <rFont val="Tahoma"/>
            <family val="2"/>
          </rPr>
          <t>&lt;[[TCDeals] - [TC Property Current Stage (Seq: 1)] Oper Misc - Send]&gt;</t>
        </r>
      </text>
    </comment>
    <comment ref="R23" authorId="0" shapeId="0" xr:uid="{00000000-0006-0000-1500-00001A000000}">
      <text>
        <r>
          <rPr>
            <b/>
            <sz val="9"/>
            <color indexed="81"/>
            <rFont val="Tahoma"/>
            <family val="2"/>
          </rPr>
          <t>&lt;[[TCDeals] - [TC Property Current Stage (Seq: 1)] TI Real Estate Taxes - Send]&gt;</t>
        </r>
      </text>
    </comment>
    <comment ref="R24" authorId="0" shapeId="0" xr:uid="{00000000-0006-0000-1500-00001B000000}">
      <text>
        <r>
          <rPr>
            <b/>
            <sz val="9"/>
            <color indexed="81"/>
            <rFont val="Tahoma"/>
            <family val="2"/>
          </rPr>
          <t>&lt;[[TCDeals] - [TC Property Current Stage (Seq: 1)] TI Prop Liability Insurance - Send]&gt;</t>
        </r>
      </text>
    </comment>
    <comment ref="R25" authorId="0" shapeId="0" xr:uid="{00000000-0006-0000-1500-00001C000000}">
      <text>
        <r>
          <rPr>
            <b/>
            <sz val="9"/>
            <color indexed="81"/>
            <rFont val="Tahoma"/>
            <family val="2"/>
          </rPr>
          <t>&lt;[[TCDeals] - [TC Property Current Stage (Seq: 1)] TI Payroll Taxes - Send]&gt;</t>
        </r>
      </text>
    </comment>
    <comment ref="N26" authorId="0" shapeId="0" xr:uid="{00000000-0006-0000-1500-00001D000000}">
      <text>
        <r>
          <rPr>
            <b/>
            <sz val="9"/>
            <color indexed="81"/>
            <rFont val="Tahoma"/>
            <family val="2"/>
          </rPr>
          <t>&lt;[[TCDeals] - [TC Property Current Stage (Seq: 1)] Utilities Electricity - Send]&gt;</t>
        </r>
      </text>
    </comment>
    <comment ref="R26" authorId="0" shapeId="0" xr:uid="{00000000-0006-0000-1500-00001E000000}">
      <text>
        <r>
          <rPr>
            <b/>
            <sz val="9"/>
            <color indexed="81"/>
            <rFont val="Tahoma"/>
            <family val="2"/>
          </rPr>
          <t>&lt;[[TCDeals] - [TC Property Current Stage (Seq: 1)] TI Fidelity Bond - Send]&gt;</t>
        </r>
      </text>
    </comment>
    <comment ref="N27" authorId="0" shapeId="0" xr:uid="{00000000-0006-0000-1500-00001F000000}">
      <text>
        <r>
          <rPr>
            <b/>
            <sz val="9"/>
            <color indexed="81"/>
            <rFont val="Tahoma"/>
            <family val="2"/>
          </rPr>
          <t>&lt;[[TCDeals] - [TC Property Current Stage (Seq: 1)] Utilities Water - Send]&gt;</t>
        </r>
      </text>
    </comment>
    <comment ref="R27" authorId="0" shapeId="0" xr:uid="{00000000-0006-0000-1500-000020000000}">
      <text>
        <r>
          <rPr>
            <b/>
            <sz val="9"/>
            <color indexed="81"/>
            <rFont val="Tahoma"/>
            <family val="2"/>
          </rPr>
          <t>&lt;[[TCDeals] - [TC Property Current Stage (Seq: 1)] TI Workmans Comp - Send]&gt;</t>
        </r>
      </text>
    </comment>
    <comment ref="N28" authorId="0" shapeId="0" xr:uid="{00000000-0006-0000-1500-000021000000}">
      <text>
        <r>
          <rPr>
            <b/>
            <sz val="9"/>
            <color indexed="81"/>
            <rFont val="Tahoma"/>
            <family val="2"/>
          </rPr>
          <t>&lt;[[TCDeals] - [TC Property Current Stage (Seq: 1)] Utilities Gas - Send]&gt;</t>
        </r>
      </text>
    </comment>
    <comment ref="R28" authorId="0" shapeId="0" xr:uid="{00000000-0006-0000-1500-000022000000}">
      <text>
        <r>
          <rPr>
            <b/>
            <sz val="9"/>
            <color indexed="81"/>
            <rFont val="Tahoma"/>
            <family val="2"/>
          </rPr>
          <t>&lt;[[TCDeals] - [TC Property Current Stage (Seq: 1)] TI Health Ins - Send]&gt;</t>
        </r>
      </text>
    </comment>
    <comment ref="N29" authorId="0" shapeId="0" xr:uid="{00000000-0006-0000-1500-000023000000}">
      <text>
        <r>
          <rPr>
            <b/>
            <sz val="9"/>
            <color indexed="81"/>
            <rFont val="Tahoma"/>
            <family val="2"/>
          </rPr>
          <t>&lt;[[TCDeals] - [TC Property Current Stage (Seq: 1)] Utilities Sewer - Send]&gt;</t>
        </r>
      </text>
    </comment>
    <comment ref="R29" authorId="0" shapeId="0" xr:uid="{00000000-0006-0000-1500-000024000000}">
      <text>
        <r>
          <rPr>
            <b/>
            <sz val="9"/>
            <color indexed="81"/>
            <rFont val="Tahoma"/>
            <family val="2"/>
          </rPr>
          <t>&lt;[[TCDeals] - [TC Property Current Stage (Seq: 1)] TI Misc - Send]&gt;</t>
        </r>
      </text>
    </comment>
    <comment ref="N30" authorId="0" shapeId="0" xr:uid="{00000000-0006-0000-1500-000025000000}">
      <text>
        <r>
          <rPr>
            <b/>
            <sz val="9"/>
            <color indexed="81"/>
            <rFont val="Tahoma"/>
            <family val="2"/>
          </rPr>
          <t>&lt;[[TCDeals] - [TC Property Current Stage (Seq: 1)] Utilities Fuel Oil - Send]&gt;</t>
        </r>
      </text>
    </comment>
    <comment ref="R30" authorId="0" shapeId="0" xr:uid="{00000000-0006-0000-1500-000026000000}">
      <text>
        <r>
          <rPr>
            <b/>
            <sz val="9"/>
            <color indexed="81"/>
            <rFont val="Tahoma"/>
            <family val="2"/>
          </rPr>
          <t>&lt;[[TCDeals] - [TC Property Current Stage (Seq: 1)] TI Other Insurance - Send]&gt;</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Q8" authorId="0" shapeId="0" xr:uid="{00000000-0006-0000-1600-000001000000}">
      <text>
        <r>
          <rPr>
            <b/>
            <sz val="9"/>
            <color indexed="81"/>
            <rFont val="Tahoma"/>
            <family val="2"/>
          </rPr>
          <t>&lt;[[TCDeals] - [TC Property Current Stage (Seq: 1)] TC Total Vacancy Allowance - Send]&gt;</t>
        </r>
      </text>
    </comment>
    <comment ref="Q13" authorId="0" shapeId="0" xr:uid="{00000000-0006-0000-1600-000002000000}">
      <text>
        <r>
          <rPr>
            <b/>
            <sz val="9"/>
            <color indexed="81"/>
            <rFont val="Tahoma"/>
            <family val="2"/>
          </rPr>
          <t>&lt;[[TCDeals] - [TC Property Current Stage (Seq: 1)] Annual EGI Low Income Units - Send]&gt;</t>
        </r>
      </text>
    </comment>
    <comment ref="X13" authorId="0" shapeId="0" xr:uid="{00000000-0006-0000-1600-000003000000}">
      <text>
        <r>
          <rPr>
            <b/>
            <sz val="9"/>
            <color indexed="81"/>
            <rFont val="Tahoma"/>
            <family val="2"/>
          </rPr>
          <t>&lt;[[TCDeals] - [TC Property Current Stage (Seq: 1)] Annual EGI Market Units - Send]&gt;</t>
        </r>
      </text>
    </comment>
    <comment ref="X14" authorId="0" shapeId="0" xr:uid="{00000000-0006-0000-1600-000004000000}">
      <text>
        <r>
          <rPr>
            <b/>
            <sz val="9"/>
            <color indexed="81"/>
            <rFont val="Tahoma"/>
            <family val="2"/>
          </rPr>
          <t>&lt;[[TCDeals] - [TC Property Current Stage (Seq: 1)] Mkt Total Vacancy Allowance - Send]&gt;</t>
        </r>
      </text>
    </comment>
    <comment ref="X15" authorId="0" shapeId="0" xr:uid="{00000000-0006-0000-1600-000005000000}">
      <text>
        <r>
          <rPr>
            <b/>
            <sz val="9"/>
            <color indexed="81"/>
            <rFont val="Tahoma"/>
            <family val="2"/>
          </rPr>
          <t>&lt;[[TCDeals] - [TC Property Current Stage (Seq: 1)] Mkt Other Income Monthly - Send]&gt;</t>
        </r>
      </text>
    </comment>
    <comment ref="X17" authorId="0" shapeId="0" xr:uid="{00000000-0006-0000-1600-000006000000}">
      <text>
        <r>
          <rPr>
            <b/>
            <sz val="9"/>
            <color indexed="81"/>
            <rFont val="Tahoma"/>
            <family val="2"/>
          </rPr>
          <t>&lt;[[TCDeals] - [TC Property Current Stage (Seq: 1)] TC Other Income Monthly - Send]&gt;</t>
        </r>
      </text>
    </comment>
    <comment ref="T20" authorId="0" shapeId="0" xr:uid="{00000000-0006-0000-1600-000007000000}">
      <text>
        <r>
          <rPr>
            <b/>
            <sz val="9"/>
            <color indexed="81"/>
            <rFont val="Tahoma"/>
            <family val="2"/>
          </rPr>
          <t>&lt;[[TCDeals] - [TC Property Current Stage (Seq: 1)] Replacement Reserves - Send]&gt;</t>
        </r>
      </text>
    </comment>
    <comment ref="T21" authorId="0" shapeId="0" xr:uid="{00000000-0006-0000-1600-000008000000}">
      <text>
        <r>
          <rPr>
            <b/>
            <sz val="9"/>
            <color indexed="81"/>
            <rFont val="Tahoma"/>
            <family val="2"/>
          </rPr>
          <t>&lt;[[TCDeals] - [TC Property Current Stage (Seq: 1)] Oper Repairs Contract - Send]&gt;</t>
        </r>
      </text>
    </comment>
    <comment ref="X23" authorId="1" shapeId="0" xr:uid="{00000000-0006-0000-1600-000009000000}">
      <text>
        <r>
          <rPr>
            <b/>
            <sz val="9"/>
            <color indexed="81"/>
            <rFont val="Tahoma"/>
            <family val="2"/>
          </rPr>
          <t>&lt;[[TCDeals] - [TC Property Current Stage (Seq: 1)] Oper Grounds Contract - Send]&gt;</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Michelle Wilshere</author>
  </authors>
  <commentList>
    <comment ref="D25" authorId="0" shapeId="0" xr:uid="{00000000-0006-0000-1700-000001000000}">
      <text>
        <r>
          <rPr>
            <b/>
            <sz val="9"/>
            <color indexed="81"/>
            <rFont val="Tahoma"/>
            <family val="2"/>
          </rPr>
          <t>&lt;[[TCDeals] - [TC Property Current Stage (Seq: 1)] Debt Coverage Ratio Year 1 - Send]&gt;</t>
        </r>
      </text>
    </comment>
    <comment ref="E25" authorId="0" shapeId="0" xr:uid="{00000000-0006-0000-1700-000002000000}">
      <text>
        <r>
          <rPr>
            <b/>
            <sz val="9"/>
            <color indexed="81"/>
            <rFont val="Tahoma"/>
            <family val="2"/>
          </rPr>
          <t>&lt;[[TCDeals] - [TC Property Current Stage (Seq: 1)] Debt Coverage Ratio Year 2 - Send]&gt;</t>
        </r>
      </text>
    </comment>
    <comment ref="J58" authorId="0" shapeId="0" xr:uid="{00000000-0006-0000-1700-000003000000}">
      <text>
        <r>
          <rPr>
            <b/>
            <sz val="9"/>
            <color indexed="81"/>
            <rFont val="Tahoma"/>
            <family val="2"/>
          </rPr>
          <t>&lt;[[TCDeals] - [TC Property Current Stage (Seq: 1)] Debt Coverage Ratio Year 15 - Send]&gt;</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M22" authorId="0" shapeId="0" xr:uid="{00000000-0006-0000-1900-000001000000}">
      <text>
        <r>
          <rPr>
            <sz val="9"/>
            <color indexed="81"/>
            <rFont val="Tahoma"/>
            <family val="2"/>
          </rPr>
          <t>Taken from page 22. Includes all residential units including resident manager, maintenance, and security units.</t>
        </r>
      </text>
    </comment>
    <comment ref="Y22" authorId="0" shapeId="0" xr:uid="{00000000-0006-0000-1900-000002000000}">
      <text>
        <r>
          <rPr>
            <b/>
            <sz val="9"/>
            <color indexed="81"/>
            <rFont val="Tahoma"/>
            <family val="2"/>
          </rPr>
          <t>&lt;[[TCDeals] - [TC Property Current Stage (Seq: 1)] Bldg Alloc Type - Send]&gt;</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O7" authorId="0" shapeId="0" xr:uid="{00000000-0006-0000-1A00-000001000000}">
      <text>
        <r>
          <rPr>
            <b/>
            <sz val="9"/>
            <color indexed="81"/>
            <rFont val="Tahoma"/>
            <family val="2"/>
          </rPr>
          <t>&lt;[[TCDeals] - [TC Property Current Stage (Seq: 1)] Non Profit Name - Send]&gt;</t>
        </r>
      </text>
    </comment>
    <comment ref="O9" authorId="0" shapeId="0" xr:uid="{00000000-0006-0000-1A00-000002000000}">
      <text>
        <r>
          <rPr>
            <b/>
            <sz val="9"/>
            <color indexed="81"/>
            <rFont val="Tahoma"/>
            <family val="2"/>
          </rPr>
          <t>&lt;[[TCDeals] - [TC Property Current Stage (Seq: 1)] Non Profit Type - Send]&gt;</t>
        </r>
      </text>
    </comment>
    <comment ref="O11" authorId="0" shapeId="0" xr:uid="{00000000-0006-0000-1A00-000003000000}">
      <text>
        <r>
          <rPr>
            <b/>
            <sz val="9"/>
            <color indexed="81"/>
            <rFont val="Tahoma"/>
            <family val="2"/>
          </rPr>
          <t>&lt;[[TCDeals] - [TC Property Current Stage (Seq: 1)] Non Profit Contact - Send]&gt;</t>
        </r>
      </text>
    </comment>
    <comment ref="O14" authorId="0" shapeId="0" xr:uid="{00000000-0006-0000-1A00-000004000000}">
      <text>
        <r>
          <rPr>
            <b/>
            <sz val="9"/>
            <color indexed="81"/>
            <rFont val="Tahoma"/>
            <family val="2"/>
          </rPr>
          <t>&lt;[[TCDeals] - [TC Property Current Stage (Seq: 1)] Non Profit Address - Send]&gt;</t>
        </r>
      </text>
    </comment>
    <comment ref="O17" authorId="0" shapeId="0" xr:uid="{00000000-0006-0000-1A00-000005000000}">
      <text>
        <r>
          <rPr>
            <b/>
            <sz val="9"/>
            <color indexed="81"/>
            <rFont val="Tahoma"/>
            <family val="2"/>
          </rPr>
          <t>&lt;[[TCDeals] - [TC Property Current Stage (Seq: 1)] Non Profit City - Send]&gt;</t>
        </r>
      </text>
    </comment>
    <comment ref="O18" authorId="0" shapeId="0" xr:uid="{00000000-0006-0000-1A00-000006000000}">
      <text>
        <r>
          <rPr>
            <b/>
            <sz val="9"/>
            <color indexed="81"/>
            <rFont val="Tahoma"/>
            <family val="2"/>
          </rPr>
          <t>&lt;[[TCDeals] - [TC Property Current Stage (Seq: 1)] Non Profit State - Send]&gt;</t>
        </r>
      </text>
    </comment>
    <comment ref="O20" authorId="0" shapeId="0" xr:uid="{00000000-0006-0000-1A00-000007000000}">
      <text>
        <r>
          <rPr>
            <b/>
            <sz val="9"/>
            <color indexed="81"/>
            <rFont val="Tahoma"/>
            <family val="2"/>
          </rPr>
          <t>&lt;[[TCDeals] - [TC Property Current Stage (Seq: 1)] Non Profit Phone - Send]&gt;</t>
        </r>
      </text>
    </comment>
    <comment ref="O23" authorId="0" shapeId="0" xr:uid="{00000000-0006-0000-1A00-000008000000}">
      <text>
        <r>
          <rPr>
            <b/>
            <sz val="9"/>
            <color indexed="81"/>
            <rFont val="Tahoma"/>
            <family val="2"/>
          </rPr>
          <t>&lt;[[TCDeals] - [TC Property Current Stage (Seq: 1)] Is Non Profit Involvement - Send]&gt;</t>
        </r>
      </text>
    </comment>
    <comment ref="O25" authorId="0" shapeId="0" xr:uid="{00000000-0006-0000-1A00-000009000000}">
      <text>
        <r>
          <rPr>
            <b/>
            <sz val="9"/>
            <color indexed="81"/>
            <rFont val="Tahoma"/>
            <family val="2"/>
          </rPr>
          <t>&lt;[[TCDeals] - [TC Property Current Stage (Seq: 1)] Is Non Profit Pool And Points - Send]&gt;</t>
        </r>
      </text>
    </comment>
    <comment ref="O31" authorId="0" shapeId="0" xr:uid="{00000000-0006-0000-1A00-00000A000000}">
      <text>
        <r>
          <rPr>
            <b/>
            <sz val="9"/>
            <color indexed="81"/>
            <rFont val="Tahoma"/>
            <family val="2"/>
          </rPr>
          <t>&lt;[[TCDeals] - [TC Property Current Stage (Seq: 1)] Non Profit Involvement Pct - Send]&gt;</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9" authorId="0" shapeId="0" xr:uid="{00000000-0006-0000-1B00-000001000000}">
      <text>
        <r>
          <rPr>
            <sz val="9"/>
            <color indexed="81"/>
            <rFont val="Tahoma"/>
            <family val="2"/>
          </rPr>
          <t>Taken from page 9, XVI.C.2.a.</t>
        </r>
      </text>
    </comment>
    <comment ref="Q11" authorId="0" shapeId="0" xr:uid="{00000000-0006-0000-1B00-000002000000}">
      <text>
        <r>
          <rPr>
            <sz val="9"/>
            <color indexed="81"/>
            <rFont val="Tahoma"/>
            <family val="2"/>
          </rPr>
          <t>Taken from page 9, XVI.C.2.b.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X7" authorId="0" shapeId="0" xr:uid="{00000000-0006-0000-0200-000001000000}">
      <text>
        <r>
          <rPr>
            <b/>
            <sz val="8"/>
            <color indexed="81"/>
            <rFont val="Tahoma"/>
            <family val="2"/>
          </rPr>
          <t>&lt;[[TCDeals] - [TC Property Current Stage (Seq: 1)] - [Buildings (Seq: 1)] Address 1 - Send]&gt;</t>
        </r>
      </text>
    </comment>
    <comment ref="AD7" authorId="0" shapeId="0" xr:uid="{00000000-0006-0000-0200-000002000000}">
      <text>
        <r>
          <rPr>
            <b/>
            <sz val="8"/>
            <color indexed="81"/>
            <rFont val="Tahoma"/>
            <family val="2"/>
          </rPr>
          <t>&lt;[[TCDeals] - [TC Property Current Stage (Seq: 1)] - [Buildings (Seq: 1)] City - Send]&gt;</t>
        </r>
      </text>
    </comment>
    <comment ref="AJ7" authorId="0" shapeId="0" xr:uid="{00000000-0006-0000-0200-000003000000}">
      <text>
        <r>
          <rPr>
            <b/>
            <sz val="8"/>
            <color indexed="81"/>
            <rFont val="Tahoma"/>
            <family val="2"/>
          </rPr>
          <t>&lt;[[TCDeals] - [TC Property Current Stage (Seq: 1)] - [Buildings (Seq: 1)] State - Send]&gt;</t>
        </r>
      </text>
    </comment>
    <comment ref="AL7" authorId="0" shapeId="0" xr:uid="{00000000-0006-0000-0200-000004000000}">
      <text>
        <r>
          <rPr>
            <b/>
            <sz val="8"/>
            <color indexed="81"/>
            <rFont val="Tahoma"/>
            <family val="2"/>
          </rPr>
          <t>&lt;[[TCDeals] - [TC Property Current Stage (Seq: 1)] - [Buildings (Seq: 1)] Zip Code - Send]&gt;</t>
        </r>
      </text>
    </comment>
    <comment ref="X10" authorId="0" shapeId="0" xr:uid="{00000000-0006-0000-0200-000005000000}">
      <text>
        <r>
          <rPr>
            <b/>
            <sz val="8"/>
            <color indexed="81"/>
            <rFont val="Tahoma"/>
            <family val="2"/>
          </rPr>
          <t>&lt;[[TCDeals] - [TC Property Current Stage (Seq: 1)] - [Buildings (Seq: 2)] Address 1 - Send]&gt;</t>
        </r>
      </text>
    </comment>
    <comment ref="AD10" authorId="0" shapeId="0" xr:uid="{00000000-0006-0000-0200-000006000000}">
      <text>
        <r>
          <rPr>
            <b/>
            <sz val="8"/>
            <color indexed="81"/>
            <rFont val="Tahoma"/>
            <family val="2"/>
          </rPr>
          <t>&lt;[[TCDeals] - [TC Property Current Stage (Seq: 1)] - [Buildings (Seq: 2)] City - Send]&gt;</t>
        </r>
      </text>
    </comment>
    <comment ref="AJ10" authorId="0" shapeId="0" xr:uid="{00000000-0006-0000-0200-000007000000}">
      <text>
        <r>
          <rPr>
            <b/>
            <sz val="8"/>
            <color indexed="81"/>
            <rFont val="Tahoma"/>
            <family val="2"/>
          </rPr>
          <t>&lt;[[TCDeals] - [TC Property Current Stage (Seq: 1)] - [Buildings (Seq: 2)] State - Send]&gt;</t>
        </r>
      </text>
    </comment>
    <comment ref="AL10" authorId="0" shapeId="0" xr:uid="{00000000-0006-0000-0200-000008000000}">
      <text>
        <r>
          <rPr>
            <b/>
            <sz val="8"/>
            <color indexed="81"/>
            <rFont val="Tahoma"/>
            <family val="2"/>
          </rPr>
          <t>&lt;[[TCDeals] - [TC Property Current Stage (Seq: 1)] - [Buildings (Seq: 2)] Zip Code - Send]&gt;</t>
        </r>
      </text>
    </comment>
    <comment ref="X13" authorId="0" shapeId="0" xr:uid="{00000000-0006-0000-0200-000009000000}">
      <text>
        <r>
          <rPr>
            <b/>
            <sz val="8"/>
            <color indexed="81"/>
            <rFont val="Tahoma"/>
            <family val="2"/>
          </rPr>
          <t>&lt;[[TCDeals] - [TC Property Current Stage (Seq: 1)] - [Buildings (Seq: 3)] Address 1 - Send]&gt;</t>
        </r>
      </text>
    </comment>
    <comment ref="AD13" authorId="0" shapeId="0" xr:uid="{00000000-0006-0000-0200-00000A000000}">
      <text>
        <r>
          <rPr>
            <b/>
            <sz val="8"/>
            <color indexed="81"/>
            <rFont val="Tahoma"/>
            <family val="2"/>
          </rPr>
          <t>&lt;[[TCDeals] - [TC Property Current Stage (Seq: 1)] - [Buildings (Seq: 3)] City - Send]&gt;</t>
        </r>
      </text>
    </comment>
    <comment ref="AJ13" authorId="0" shapeId="0" xr:uid="{00000000-0006-0000-0200-00000B000000}">
      <text>
        <r>
          <rPr>
            <b/>
            <sz val="8"/>
            <color indexed="81"/>
            <rFont val="Tahoma"/>
            <family val="2"/>
          </rPr>
          <t>&lt;[[TCDeals] - [TC Property Current Stage (Seq: 1)] - [Buildings (Seq: 3)] State - Send]&gt;</t>
        </r>
      </text>
    </comment>
    <comment ref="AL13" authorId="0" shapeId="0" xr:uid="{00000000-0006-0000-0200-00000C000000}">
      <text>
        <r>
          <rPr>
            <b/>
            <sz val="8"/>
            <color indexed="81"/>
            <rFont val="Tahoma"/>
            <family val="2"/>
          </rPr>
          <t>&lt;[[TCDeals] - [TC Property Current Stage (Seq: 1)] - [Buildings (Seq: 3)] Zip Code - Send]&gt;</t>
        </r>
      </text>
    </comment>
    <comment ref="X16" authorId="0" shapeId="0" xr:uid="{00000000-0006-0000-0200-00000D000000}">
      <text>
        <r>
          <rPr>
            <b/>
            <sz val="8"/>
            <color indexed="81"/>
            <rFont val="Tahoma"/>
            <family val="2"/>
          </rPr>
          <t>&lt;[[TCDeals] - [TC Property Current Stage (Seq: 1)] - [Buildings (Seq: 4)] Address 1 - Send]&gt;</t>
        </r>
      </text>
    </comment>
    <comment ref="AD16" authorId="0" shapeId="0" xr:uid="{00000000-0006-0000-0200-00000E000000}">
      <text>
        <r>
          <rPr>
            <b/>
            <sz val="8"/>
            <color indexed="81"/>
            <rFont val="Tahoma"/>
            <family val="2"/>
          </rPr>
          <t>&lt;[[TCDeals] - [TC Property Current Stage (Seq: 1)] - [Buildings (Seq: 4)] City - Send]&gt;</t>
        </r>
      </text>
    </comment>
    <comment ref="AJ16" authorId="0" shapeId="0" xr:uid="{00000000-0006-0000-0200-00000F000000}">
      <text>
        <r>
          <rPr>
            <b/>
            <sz val="8"/>
            <color indexed="81"/>
            <rFont val="Tahoma"/>
            <family val="2"/>
          </rPr>
          <t>&lt;[[TCDeals] - [TC Property Current Stage (Seq: 1)] - [Buildings (Seq: 4)] State - Send]&gt;</t>
        </r>
      </text>
    </comment>
    <comment ref="AL16" authorId="0" shapeId="0" xr:uid="{00000000-0006-0000-0200-000010000000}">
      <text>
        <r>
          <rPr>
            <b/>
            <sz val="8"/>
            <color indexed="81"/>
            <rFont val="Tahoma"/>
            <family val="2"/>
          </rPr>
          <t>&lt;[[TCDeals] - [TC Property Current Stage (Seq: 1)] - [Buildings (Seq: 4)] Zip Code - Send]&gt;</t>
        </r>
      </text>
    </comment>
    <comment ref="X19" authorId="0" shapeId="0" xr:uid="{00000000-0006-0000-0200-000011000000}">
      <text>
        <r>
          <rPr>
            <b/>
            <sz val="8"/>
            <color indexed="81"/>
            <rFont val="Tahoma"/>
            <family val="2"/>
          </rPr>
          <t>&lt;[[TCDeals] - [TC Property Current Stage (Seq: 1)] - [Buildings (Seq: 5)] Address 1 - Send]&gt;</t>
        </r>
      </text>
    </comment>
    <comment ref="AD19" authorId="0" shapeId="0" xr:uid="{00000000-0006-0000-0200-000012000000}">
      <text>
        <r>
          <rPr>
            <b/>
            <sz val="8"/>
            <color indexed="81"/>
            <rFont val="Tahoma"/>
            <family val="2"/>
          </rPr>
          <t>&lt;[[TCDeals] - [TC Property Current Stage (Seq: 1)] - [Buildings (Seq: 5)] City - Send]&gt;</t>
        </r>
      </text>
    </comment>
    <comment ref="AJ19" authorId="0" shapeId="0" xr:uid="{00000000-0006-0000-0200-000013000000}">
      <text>
        <r>
          <rPr>
            <b/>
            <sz val="8"/>
            <color indexed="81"/>
            <rFont val="Tahoma"/>
            <family val="2"/>
          </rPr>
          <t>&lt;[[TCDeals] - [TC Property Current Stage (Seq: 1)] - [Buildings (Seq: 5)] State - Send]&gt;</t>
        </r>
      </text>
    </comment>
    <comment ref="AL19" authorId="0" shapeId="0" xr:uid="{00000000-0006-0000-0200-000014000000}">
      <text>
        <r>
          <rPr>
            <b/>
            <sz val="8"/>
            <color indexed="81"/>
            <rFont val="Tahoma"/>
            <family val="2"/>
          </rPr>
          <t>&lt;[[TCDeals] - [TC Property Current Stage (Seq: 1)] - [Buildings (Seq: 5)] Zip Code - Send]&gt;</t>
        </r>
      </text>
    </comment>
    <comment ref="X22" authorId="0" shapeId="0" xr:uid="{00000000-0006-0000-0200-000015000000}">
      <text>
        <r>
          <rPr>
            <b/>
            <sz val="8"/>
            <color indexed="81"/>
            <rFont val="Tahoma"/>
            <family val="2"/>
          </rPr>
          <t>&lt;[[TCDeals] - [TC Property Current Stage (Seq: 1)] - [Buildings (Seq: 6)] Address 1 - Send]&gt;</t>
        </r>
      </text>
    </comment>
    <comment ref="AD22" authorId="0" shapeId="0" xr:uid="{00000000-0006-0000-0200-000016000000}">
      <text>
        <r>
          <rPr>
            <b/>
            <sz val="8"/>
            <color indexed="81"/>
            <rFont val="Tahoma"/>
            <family val="2"/>
          </rPr>
          <t>&lt;[[TCDeals] - [TC Property Current Stage (Seq: 1)] - [Buildings (Seq: 6)] City - Send]&gt;</t>
        </r>
      </text>
    </comment>
    <comment ref="AJ22" authorId="0" shapeId="0" xr:uid="{00000000-0006-0000-0200-000017000000}">
      <text>
        <r>
          <rPr>
            <b/>
            <sz val="8"/>
            <color indexed="81"/>
            <rFont val="Tahoma"/>
            <family val="2"/>
          </rPr>
          <t>&lt;[[TCDeals] - [TC Property Current Stage (Seq: 1)] - [Buildings (Seq: 6)] State - Send]&gt;</t>
        </r>
      </text>
    </comment>
    <comment ref="AL22" authorId="0" shapeId="0" xr:uid="{00000000-0006-0000-0200-000018000000}">
      <text>
        <r>
          <rPr>
            <b/>
            <sz val="8"/>
            <color indexed="81"/>
            <rFont val="Tahoma"/>
            <family val="2"/>
          </rPr>
          <t>&lt;[[TCDeals] - [TC Property Current Stage (Seq: 1)] - [Buildings (Seq: 6)] Zip Code - Send]&gt;</t>
        </r>
      </text>
    </comment>
    <comment ref="X25" authorId="0" shapeId="0" xr:uid="{00000000-0006-0000-0200-000019000000}">
      <text>
        <r>
          <rPr>
            <b/>
            <sz val="8"/>
            <color indexed="81"/>
            <rFont val="Tahoma"/>
            <family val="2"/>
          </rPr>
          <t>&lt;[[TCDeals] - [TC Property Current Stage (Seq: 1)] - [Buildings (Seq: 7)] Address 1 - Send]&gt;</t>
        </r>
      </text>
    </comment>
    <comment ref="AD25" authorId="0" shapeId="0" xr:uid="{00000000-0006-0000-0200-00001A000000}">
      <text>
        <r>
          <rPr>
            <b/>
            <sz val="8"/>
            <color indexed="81"/>
            <rFont val="Tahoma"/>
            <family val="2"/>
          </rPr>
          <t>&lt;[[TCDeals] - [TC Property Current Stage (Seq: 1)] - [Buildings (Seq: 7)] City - Send]&gt;</t>
        </r>
      </text>
    </comment>
    <comment ref="AJ25" authorId="0" shapeId="0" xr:uid="{00000000-0006-0000-0200-00001B000000}">
      <text>
        <r>
          <rPr>
            <b/>
            <sz val="8"/>
            <color indexed="81"/>
            <rFont val="Tahoma"/>
            <family val="2"/>
          </rPr>
          <t>&lt;[[TCDeals] - [TC Property Current Stage (Seq: 1)] - [Buildings (Seq: 7)] State - Send]&gt;</t>
        </r>
      </text>
    </comment>
    <comment ref="AL25" authorId="0" shapeId="0" xr:uid="{00000000-0006-0000-0200-00001C000000}">
      <text>
        <r>
          <rPr>
            <b/>
            <sz val="8"/>
            <color indexed="81"/>
            <rFont val="Tahoma"/>
            <family val="2"/>
          </rPr>
          <t>&lt;[[TCDeals] - [TC Property Current Stage (Seq: 1)] - [Buildings (Seq: 7)] Zip Code - Send]&gt;</t>
        </r>
      </text>
    </comment>
    <comment ref="X28" authorId="0" shapeId="0" xr:uid="{00000000-0006-0000-0200-00001D000000}">
      <text>
        <r>
          <rPr>
            <b/>
            <sz val="8"/>
            <color indexed="81"/>
            <rFont val="Tahoma"/>
            <family val="2"/>
          </rPr>
          <t>&lt;[[TCDeals] - [TC Property Current Stage (Seq: 1)] - [Buildings (Seq: 8)] Address 1 - Send]&gt;</t>
        </r>
      </text>
    </comment>
    <comment ref="AD28" authorId="0" shapeId="0" xr:uid="{00000000-0006-0000-0200-00001E000000}">
      <text>
        <r>
          <rPr>
            <b/>
            <sz val="8"/>
            <color indexed="81"/>
            <rFont val="Tahoma"/>
            <family val="2"/>
          </rPr>
          <t>&lt;[[TCDeals] - [TC Property Current Stage (Seq: 1)] - [Buildings (Seq: 8)] City - Send]&gt;</t>
        </r>
      </text>
    </comment>
    <comment ref="AJ28" authorId="0" shapeId="0" xr:uid="{00000000-0006-0000-0200-00001F000000}">
      <text>
        <r>
          <rPr>
            <b/>
            <sz val="8"/>
            <color indexed="81"/>
            <rFont val="Tahoma"/>
            <family val="2"/>
          </rPr>
          <t>&lt;[[TCDeals] - [TC Property Current Stage (Seq: 1)] - [Buildings (Seq: 8)] State - Send]&gt;</t>
        </r>
      </text>
    </comment>
    <comment ref="AL28" authorId="0" shapeId="0" xr:uid="{00000000-0006-0000-0200-000020000000}">
      <text>
        <r>
          <rPr>
            <b/>
            <sz val="8"/>
            <color indexed="81"/>
            <rFont val="Tahoma"/>
            <family val="2"/>
          </rPr>
          <t>&lt;[[TCDeals] - [TC Property Current Stage (Seq: 1)] - [Buildings (Seq: 8)] Zip Code - Send]&gt;</t>
        </r>
      </text>
    </comment>
    <comment ref="X31" authorId="0" shapeId="0" xr:uid="{00000000-0006-0000-0200-000021000000}">
      <text>
        <r>
          <rPr>
            <b/>
            <sz val="8"/>
            <color indexed="81"/>
            <rFont val="Tahoma"/>
            <family val="2"/>
          </rPr>
          <t>&lt;[[TCDeals] - [TC Property Current Stage (Seq: 1)] - [Buildings (Seq: 9)] Address 1 - Send]&gt;</t>
        </r>
      </text>
    </comment>
    <comment ref="AD31" authorId="0" shapeId="0" xr:uid="{00000000-0006-0000-0200-000022000000}">
      <text>
        <r>
          <rPr>
            <b/>
            <sz val="8"/>
            <color indexed="81"/>
            <rFont val="Tahoma"/>
            <family val="2"/>
          </rPr>
          <t>&lt;[[TCDeals] - [TC Property Current Stage (Seq: 1)] - [Buildings (Seq: 9)] City - Send]&gt;</t>
        </r>
      </text>
    </comment>
    <comment ref="AJ31" authorId="0" shapeId="0" xr:uid="{00000000-0006-0000-0200-000023000000}">
      <text>
        <r>
          <rPr>
            <b/>
            <sz val="8"/>
            <color indexed="81"/>
            <rFont val="Tahoma"/>
            <family val="2"/>
          </rPr>
          <t>&lt;[[TCDeals] - [TC Property Current Stage (Seq: 1)] - [Buildings (Seq: 9)] State - Send]&gt;</t>
        </r>
      </text>
    </comment>
    <comment ref="AL31" authorId="0" shapeId="0" xr:uid="{00000000-0006-0000-0200-000024000000}">
      <text>
        <r>
          <rPr>
            <b/>
            <sz val="8"/>
            <color indexed="81"/>
            <rFont val="Tahoma"/>
            <family val="2"/>
          </rPr>
          <t>&lt;[[TCDeals] - [TC Property Current Stage (Seq: 1)] - [Buildings (Seq: 9)] Zip Code - Send]&gt;</t>
        </r>
      </text>
    </comment>
    <comment ref="X34" authorId="0" shapeId="0" xr:uid="{00000000-0006-0000-0200-000025000000}">
      <text>
        <r>
          <rPr>
            <b/>
            <sz val="8"/>
            <color indexed="81"/>
            <rFont val="Tahoma"/>
            <family val="2"/>
          </rPr>
          <t>&lt;[[TCDeals] - [TC Property Current Stage (Seq: 1)] - [Buildings (Seq: 10)] Address 1 - Send]&gt;</t>
        </r>
      </text>
    </comment>
    <comment ref="AD34" authorId="0" shapeId="0" xr:uid="{00000000-0006-0000-0200-000026000000}">
      <text>
        <r>
          <rPr>
            <b/>
            <sz val="8"/>
            <color indexed="81"/>
            <rFont val="Tahoma"/>
            <family val="2"/>
          </rPr>
          <t>&lt;[[TCDeals] - [TC Property Current Stage (Seq: 1)] - [Buildings (Seq: 10)] City - Send]&gt;</t>
        </r>
      </text>
    </comment>
    <comment ref="AJ34" authorId="0" shapeId="0" xr:uid="{00000000-0006-0000-0200-000027000000}">
      <text>
        <r>
          <rPr>
            <b/>
            <sz val="8"/>
            <color indexed="81"/>
            <rFont val="Tahoma"/>
            <family val="2"/>
          </rPr>
          <t>&lt;[[TCDeals] - [TC Property Current Stage (Seq: 1)] - [Buildings (Seq: 10)] State - Send]&gt;</t>
        </r>
      </text>
    </comment>
    <comment ref="AL34" authorId="0" shapeId="0" xr:uid="{00000000-0006-0000-0200-000028000000}">
      <text>
        <r>
          <rPr>
            <b/>
            <sz val="8"/>
            <color indexed="81"/>
            <rFont val="Tahoma"/>
            <family val="2"/>
          </rPr>
          <t>&lt;[[TCDeals] - [TC Property Current Stage (Seq: 1)] - [Buildings (Seq: 10)] Zip Code - Send]&gt;</t>
        </r>
      </text>
    </comment>
    <comment ref="X37" authorId="0" shapeId="0" xr:uid="{00000000-0006-0000-0200-000029000000}">
      <text>
        <r>
          <rPr>
            <b/>
            <sz val="8"/>
            <color indexed="81"/>
            <rFont val="Tahoma"/>
            <family val="2"/>
          </rPr>
          <t>&lt;[[TCDeals] - [TC Property Current Stage (Seq: 1)] - [Buildings (Seq: 11)] Address 1 - Send]&gt;</t>
        </r>
      </text>
    </comment>
    <comment ref="AD37" authorId="0" shapeId="0" xr:uid="{00000000-0006-0000-0200-00002A000000}">
      <text>
        <r>
          <rPr>
            <b/>
            <sz val="8"/>
            <color indexed="81"/>
            <rFont val="Tahoma"/>
            <family val="2"/>
          </rPr>
          <t>&lt;[[TCDeals] - [TC Property Current Stage (Seq: 1)] - [Buildings (Seq: 11)] City - Send]&gt;</t>
        </r>
      </text>
    </comment>
    <comment ref="AJ37" authorId="0" shapeId="0" xr:uid="{00000000-0006-0000-0200-00002B000000}">
      <text>
        <r>
          <rPr>
            <b/>
            <sz val="8"/>
            <color indexed="81"/>
            <rFont val="Tahoma"/>
            <family val="2"/>
          </rPr>
          <t>&lt;[[TCDeals] - [TC Property Current Stage (Seq: 1)] - [Buildings (Seq: 11)] State - Send]&gt;</t>
        </r>
      </text>
    </comment>
    <comment ref="AL37" authorId="0" shapeId="0" xr:uid="{00000000-0006-0000-0200-00002C000000}">
      <text>
        <r>
          <rPr>
            <b/>
            <sz val="8"/>
            <color indexed="81"/>
            <rFont val="Tahoma"/>
            <family val="2"/>
          </rPr>
          <t>&lt;[[TCDeals] - [TC Property Current Stage (Seq: 1)] - [Buildings (Seq: 11)] Zip Code - Send]&gt;</t>
        </r>
      </text>
    </comment>
    <comment ref="X40" authorId="0" shapeId="0" xr:uid="{00000000-0006-0000-0200-00002D000000}">
      <text>
        <r>
          <rPr>
            <b/>
            <sz val="8"/>
            <color indexed="81"/>
            <rFont val="Tahoma"/>
            <family val="2"/>
          </rPr>
          <t>&lt;[[TCDeals] - [TC Property Current Stage (Seq: 1)] - [Buildings (Seq: 12)] Address 1 - Send]&gt;</t>
        </r>
      </text>
    </comment>
    <comment ref="AD40" authorId="0" shapeId="0" xr:uid="{00000000-0006-0000-0200-00002E000000}">
      <text>
        <r>
          <rPr>
            <b/>
            <sz val="8"/>
            <color indexed="81"/>
            <rFont val="Tahoma"/>
            <family val="2"/>
          </rPr>
          <t>&lt;[[TCDeals] - [TC Property Current Stage (Seq: 1)] - [Buildings (Seq: 12)] City - Send]&gt;</t>
        </r>
      </text>
    </comment>
    <comment ref="AJ40" authorId="0" shapeId="0" xr:uid="{00000000-0006-0000-0200-00002F000000}">
      <text>
        <r>
          <rPr>
            <b/>
            <sz val="8"/>
            <color indexed="81"/>
            <rFont val="Tahoma"/>
            <family val="2"/>
          </rPr>
          <t>&lt;[[TCDeals] - [TC Property Current Stage (Seq: 1)] - [Buildings (Seq: 12)] State - Send]&gt;</t>
        </r>
      </text>
    </comment>
    <comment ref="AL40" authorId="0" shapeId="0" xr:uid="{00000000-0006-0000-0200-000030000000}">
      <text>
        <r>
          <rPr>
            <b/>
            <sz val="8"/>
            <color indexed="81"/>
            <rFont val="Tahoma"/>
            <family val="2"/>
          </rPr>
          <t>&lt;[[TCDeals] - [TC Property Current Stage (Seq: 1)] - [Buildings (Seq: 12)] Zip Code - Send]&gt;</t>
        </r>
      </text>
    </comment>
    <comment ref="X43" authorId="0" shapeId="0" xr:uid="{00000000-0006-0000-0200-000031000000}">
      <text>
        <r>
          <rPr>
            <b/>
            <sz val="8"/>
            <color indexed="81"/>
            <rFont val="Tahoma"/>
            <family val="2"/>
          </rPr>
          <t>&lt;[[TCDeals] - [TC Property Current Stage (Seq: 1)] - [Buildings (Seq: 13)] Address 1 - Send]&gt;</t>
        </r>
      </text>
    </comment>
    <comment ref="AD43" authorId="0" shapeId="0" xr:uid="{00000000-0006-0000-0200-000032000000}">
      <text>
        <r>
          <rPr>
            <b/>
            <sz val="8"/>
            <color indexed="81"/>
            <rFont val="Tahoma"/>
            <family val="2"/>
          </rPr>
          <t>&lt;[[TCDeals] - [TC Property Current Stage (Seq: 1)] - [Buildings (Seq: 13)] City - Send]&gt;</t>
        </r>
      </text>
    </comment>
    <comment ref="AJ43" authorId="0" shapeId="0" xr:uid="{00000000-0006-0000-0200-000033000000}">
      <text>
        <r>
          <rPr>
            <b/>
            <sz val="8"/>
            <color indexed="81"/>
            <rFont val="Tahoma"/>
            <family val="2"/>
          </rPr>
          <t>&lt;[[TCDeals] - [TC Property Current Stage (Seq: 1)] - [Buildings (Seq: 13)] State - Send]&gt;</t>
        </r>
      </text>
    </comment>
    <comment ref="AL43" authorId="0" shapeId="0" xr:uid="{00000000-0006-0000-0200-000034000000}">
      <text>
        <r>
          <rPr>
            <b/>
            <sz val="8"/>
            <color indexed="81"/>
            <rFont val="Tahoma"/>
            <family val="2"/>
          </rPr>
          <t>&lt;[[TCDeals] - [TC Property Current Stage (Seq: 1)] - [Buildings (Seq: 13)] Zip Code - Send]&gt;</t>
        </r>
      </text>
    </comment>
    <comment ref="X46" authorId="0" shapeId="0" xr:uid="{00000000-0006-0000-0200-000035000000}">
      <text>
        <r>
          <rPr>
            <b/>
            <sz val="8"/>
            <color indexed="81"/>
            <rFont val="Tahoma"/>
            <family val="2"/>
          </rPr>
          <t>&lt;[[TCDeals] - [TC Property Current Stage (Seq: 1)] - [Buildings (Seq: 14)] Address 1 - Send]&gt;</t>
        </r>
      </text>
    </comment>
    <comment ref="AD46" authorId="0" shapeId="0" xr:uid="{00000000-0006-0000-0200-000036000000}">
      <text>
        <r>
          <rPr>
            <b/>
            <sz val="8"/>
            <color indexed="81"/>
            <rFont val="Tahoma"/>
            <family val="2"/>
          </rPr>
          <t>&lt;[[TCDeals] - [TC Property Current Stage (Seq: 1)] - [Buildings (Seq: 14)] City - Send]&gt;</t>
        </r>
      </text>
    </comment>
    <comment ref="AJ46" authorId="0" shapeId="0" xr:uid="{00000000-0006-0000-0200-000037000000}">
      <text>
        <r>
          <rPr>
            <b/>
            <sz val="8"/>
            <color indexed="81"/>
            <rFont val="Tahoma"/>
            <family val="2"/>
          </rPr>
          <t>&lt;[[TCDeals] - [TC Property Current Stage (Seq: 1)] - [Buildings (Seq: 14)] State - Send]&gt;</t>
        </r>
      </text>
    </comment>
    <comment ref="AL46" authorId="0" shapeId="0" xr:uid="{00000000-0006-0000-0200-000038000000}">
      <text>
        <r>
          <rPr>
            <b/>
            <sz val="8"/>
            <color indexed="81"/>
            <rFont val="Tahoma"/>
            <family val="2"/>
          </rPr>
          <t>&lt;[[TCDeals] - [TC Property Current Stage (Seq: 1)] - [Buildings (Seq: 14)] Zip Code - Send]&gt;</t>
        </r>
      </text>
    </comment>
    <comment ref="X49" authorId="0" shapeId="0" xr:uid="{00000000-0006-0000-0200-000039000000}">
      <text>
        <r>
          <rPr>
            <b/>
            <sz val="8"/>
            <color indexed="81"/>
            <rFont val="Tahoma"/>
            <family val="2"/>
          </rPr>
          <t>&lt;[[TCDeals] - [TC Property Current Stage (Seq: 1)] - [Buildings (Seq: 15)] Address 1 - Send]&gt;</t>
        </r>
      </text>
    </comment>
    <comment ref="AD49" authorId="0" shapeId="0" xr:uid="{00000000-0006-0000-0200-00003A000000}">
      <text>
        <r>
          <rPr>
            <b/>
            <sz val="8"/>
            <color indexed="81"/>
            <rFont val="Tahoma"/>
            <family val="2"/>
          </rPr>
          <t>&lt;[[TCDeals] - [TC Property Current Stage (Seq: 1)] - [Buildings (Seq: 15)] City - Send]&gt;</t>
        </r>
      </text>
    </comment>
    <comment ref="AJ49" authorId="0" shapeId="0" xr:uid="{00000000-0006-0000-0200-00003B000000}">
      <text>
        <r>
          <rPr>
            <b/>
            <sz val="8"/>
            <color indexed="81"/>
            <rFont val="Tahoma"/>
            <family val="2"/>
          </rPr>
          <t>&lt;[[TCDeals] - [TC Property Current Stage (Seq: 1)] - [Buildings (Seq: 15)] State - Send]&gt;</t>
        </r>
      </text>
    </comment>
    <comment ref="AL49" authorId="0" shapeId="0" xr:uid="{00000000-0006-0000-0200-00003C000000}">
      <text>
        <r>
          <rPr>
            <b/>
            <sz val="8"/>
            <color indexed="81"/>
            <rFont val="Tahoma"/>
            <family val="2"/>
          </rPr>
          <t>&lt;[[TCDeals] - [TC Property Current Stage (Seq: 1)] - [Buildings (Seq: 15)] Zip Code - Send]&gt;</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B53" authorId="0" shapeId="0" xr:uid="{00000000-0006-0000-1D00-000001000000}">
      <text>
        <r>
          <rPr>
            <b/>
            <sz val="9"/>
            <color indexed="81"/>
            <rFont val="Tahoma"/>
            <family val="2"/>
          </rPr>
          <t>&lt;[[TCDeals] - [TC Property Current Stage (Seq: 1)] Waitlist Organization - Send]&gt;</t>
        </r>
      </text>
    </comment>
    <comment ref="AB55" authorId="0" shapeId="0" xr:uid="{00000000-0006-0000-1D00-000002000000}">
      <text>
        <r>
          <rPr>
            <b/>
            <sz val="9"/>
            <color indexed="81"/>
            <rFont val="Tahoma"/>
            <family val="2"/>
          </rPr>
          <t>&lt;[[TCDeals] - [TC Property Current Stage (Seq: 1)] Waitlist Contact Name - Send]&gt;</t>
        </r>
      </text>
    </comment>
    <comment ref="AB57" authorId="0" shapeId="0" xr:uid="{00000000-0006-0000-1D00-000003000000}">
      <text>
        <r>
          <rPr>
            <b/>
            <sz val="9"/>
            <color indexed="81"/>
            <rFont val="Tahoma"/>
            <family val="2"/>
          </rPr>
          <t>&lt;[[TCDeals] - [TC Property Current Stage (Seq: 1)] Waitlist Contact Title - Send]&gt;</t>
        </r>
      </text>
    </comment>
    <comment ref="AB59" authorId="0" shapeId="0" xr:uid="{00000000-0006-0000-1D00-000004000000}">
      <text>
        <r>
          <rPr>
            <b/>
            <sz val="9"/>
            <color indexed="81"/>
            <rFont val="Tahoma"/>
            <family val="2"/>
          </rPr>
          <t>&lt;[[TCDeals] - [TC Property Current Stage (Seq: 1)] Waitlist Contact Phone - Send]&gt;</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R7" authorId="0" shapeId="0" xr:uid="{00000000-0006-0000-1E00-000001000000}">
      <text>
        <r>
          <rPr>
            <b/>
            <sz val="9"/>
            <color indexed="81"/>
            <rFont val="Tahoma"/>
            <family val="2"/>
          </rPr>
          <t>&lt;[[TCDeals] - [TC Property Current Stage (Seq: 1)] Has Homeownership Plan - Send]&gt;</t>
        </r>
      </text>
    </comment>
    <comment ref="R37" authorId="0" shapeId="0" xr:uid="{00000000-0006-0000-1E00-000002000000}">
      <text>
        <r>
          <rPr>
            <b/>
            <sz val="9"/>
            <color indexed="81"/>
            <rFont val="Tahoma"/>
            <family val="2"/>
          </rPr>
          <t>&lt;[[TCDeals] - [TC Property Current Stage (Seq: 1)] Extended User Restriction - Send]&gt;</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Z30" authorId="0" shapeId="0" xr:uid="{00000000-0006-0000-2000-000001000000}">
      <text>
        <r>
          <rPr>
            <b/>
            <sz val="9"/>
            <color indexed="81"/>
            <rFont val="Tahoma"/>
            <family val="2"/>
          </rPr>
          <t>&lt;[[TCDeals] - [TC Property Current Stage (Seq: 1)] Site Acreage - Send]&gt;</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D7" authorId="0" shapeId="0" xr:uid="{00000000-0006-0000-2300-000001000000}">
      <text>
        <r>
          <rPr>
            <b/>
            <sz val="9"/>
            <color indexed="81"/>
            <rFont val="Tahoma"/>
            <family val="2"/>
          </rPr>
          <t>&lt;[[TCDeals] - [TC Property Current Stage (Seq: 1)] Site Control Type - Send]&gt;</t>
        </r>
      </text>
    </comment>
    <comment ref="AD9" authorId="0" shapeId="0" xr:uid="{00000000-0006-0000-2300-000002000000}">
      <text>
        <r>
          <rPr>
            <b/>
            <sz val="9"/>
            <color indexed="81"/>
            <rFont val="Tahoma"/>
            <family val="2"/>
          </rPr>
          <t>&lt;[[TCDeals] - [TC Property Current Stage (Seq: 1)] Site Control Exp Date - Send]&gt;</t>
        </r>
      </text>
    </comment>
    <comment ref="AD11" authorId="0" shapeId="0" xr:uid="{00000000-0006-0000-2300-000003000000}">
      <text>
        <r>
          <rPr>
            <b/>
            <sz val="9"/>
            <color indexed="81"/>
            <rFont val="Tahoma"/>
            <family val="2"/>
          </rPr>
          <t>&lt;[[TCDeals] - [TC Property Current Stage (Seq: 1)] Is Identity Of Interest Sale - Send]&gt;</t>
        </r>
      </text>
    </comment>
    <comment ref="AD14" authorId="0" shapeId="0" xr:uid="{00000000-0006-0000-2300-000004000000}">
      <text>
        <r>
          <rPr>
            <b/>
            <sz val="9"/>
            <color indexed="81"/>
            <rFont val="Tahoma"/>
            <family val="2"/>
          </rPr>
          <t>&lt;[[TCDeals] - [TC Property Current Stage (Seq: 1)] Is HUD Approval Required - Send]&gt;</t>
        </r>
      </text>
    </comment>
    <comment ref="AD38" authorId="0" shapeId="0" xr:uid="{00000000-0006-0000-2300-000005000000}">
      <text>
        <r>
          <rPr>
            <b/>
            <sz val="9"/>
            <color indexed="81"/>
            <rFont val="Tahoma"/>
            <family val="2"/>
          </rPr>
          <t>&lt;[[TCDeals] - [TC Property Current Stage (Seq: 1)] Has Elevator - Send]&gt;</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C45" authorId="0" shapeId="0" xr:uid="{00000000-0006-0000-2400-000001000000}">
      <text>
        <r>
          <rPr>
            <sz val="9"/>
            <color indexed="81"/>
            <rFont val="Tahoma"/>
            <family val="2"/>
          </rPr>
          <t>This should be answered "TRUE" if the general partner or managing member was part of the previous ownership entity, whether or not the percentage of ownership is considered de minimus.</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AR7" authorId="0" shapeId="0" xr:uid="{00000000-0006-0000-2500-000001000000}">
      <text>
        <r>
          <rPr>
            <b/>
            <sz val="9"/>
            <color indexed="81"/>
            <rFont val="Tahoma"/>
            <family val="2"/>
          </rPr>
          <t>&lt;[[TCDeals] - [TC Property Current Stage (Seq: 1)] Is Government Funds Source - Send]&gt;</t>
        </r>
      </text>
    </comment>
    <comment ref="AL13" authorId="0" shapeId="0" xr:uid="{00000000-0006-0000-2500-000002000000}">
      <text>
        <r>
          <rPr>
            <b/>
            <sz val="9"/>
            <color indexed="81"/>
            <rFont val="Tahoma"/>
            <family val="2"/>
          </rPr>
          <t>&lt;[[TCDeals] - [TC Property Current Stage (Seq: 1)] Tax Exempt Bonds Amt - Send]&gt;</t>
        </r>
      </text>
    </comment>
    <comment ref="AM13" authorId="0" shapeId="0" xr:uid="{00000000-0006-0000-2500-000003000000}">
      <text>
        <r>
          <rPr>
            <b/>
            <sz val="9"/>
            <color indexed="81"/>
            <rFont val="Tahoma"/>
            <family val="2"/>
          </rPr>
          <t>&lt;[[TCDeals] - [TC Property Current Stage (Seq: 1)] Is Tax Exempt Bonds - Send]&gt;</t>
        </r>
      </text>
    </comment>
    <comment ref="AR13" authorId="0" shapeId="0" xr:uid="{00000000-0006-0000-2500-000004000000}">
      <text>
        <r>
          <rPr>
            <b/>
            <sz val="9"/>
            <color indexed="81"/>
            <rFont val="Tahoma"/>
            <family val="2"/>
          </rPr>
          <t>&lt;[[TCDeals] - [TC Property Current Stage (Seq: 1)] Taxable Bonds Amt - Send]&gt;</t>
        </r>
      </text>
    </comment>
    <comment ref="AS13" authorId="0" shapeId="0" xr:uid="{00000000-0006-0000-2500-000005000000}">
      <text>
        <r>
          <rPr>
            <b/>
            <sz val="9"/>
            <color indexed="81"/>
            <rFont val="Tahoma"/>
            <family val="2"/>
          </rPr>
          <t>&lt;[[TCDeals] - [TC Property Current Stage (Seq: 1)] Is Taxable Bonds - Send]&gt;</t>
        </r>
      </text>
    </comment>
    <comment ref="AL15" authorId="0" shapeId="0" xr:uid="{00000000-0006-0000-2500-000006000000}">
      <text>
        <r>
          <rPr>
            <b/>
            <sz val="9"/>
            <color indexed="81"/>
            <rFont val="Tahoma"/>
            <family val="2"/>
          </rPr>
          <t>&lt;[[TCDeals] - [TC Property Current Stage (Seq: 1)] RD 515 Loan Amt - Send]&gt;</t>
        </r>
      </text>
    </comment>
    <comment ref="AM15" authorId="0" shapeId="0" xr:uid="{00000000-0006-0000-2500-000007000000}">
      <text>
        <r>
          <rPr>
            <b/>
            <sz val="9"/>
            <color indexed="81"/>
            <rFont val="Tahoma"/>
            <family val="2"/>
          </rPr>
          <t>&lt;[[TCDeals] - [TC Property Current Stage (Seq: 1)] Is R D515 Below Mkt Loan - Send]&gt;</t>
        </r>
      </text>
    </comment>
    <comment ref="AR15" authorId="0" shapeId="0" xr:uid="{00000000-0006-0000-2500-000008000000}">
      <text>
        <r>
          <rPr>
            <b/>
            <sz val="9"/>
            <color indexed="81"/>
            <rFont val="Tahoma"/>
            <family val="2"/>
          </rPr>
          <t>&lt;[[TCDeals] - [TC Property Current Stage (Seq: 1)] Section 220 Amt - Send]&gt;</t>
        </r>
      </text>
    </comment>
    <comment ref="AS15" authorId="0" shapeId="0" xr:uid="{00000000-0006-0000-2500-000009000000}">
      <text>
        <r>
          <rPr>
            <b/>
            <sz val="9"/>
            <color indexed="81"/>
            <rFont val="Tahoma"/>
            <family val="2"/>
          </rPr>
          <t>&lt;[[TCDeals] - [TC Property Current Stage (Seq: 1)] Is Section 220 - Send]&gt;</t>
        </r>
      </text>
    </comment>
    <comment ref="AL17" authorId="0" shapeId="0" xr:uid="{00000000-0006-0000-2500-00000A000000}">
      <text>
        <r>
          <rPr>
            <b/>
            <sz val="9"/>
            <color indexed="81"/>
            <rFont val="Tahoma"/>
            <family val="2"/>
          </rPr>
          <t>&lt;[[TCDeals] - [TC Property Current Stage (Seq: 1)] HOME Funds Amt - Send]&gt;</t>
        </r>
      </text>
    </comment>
    <comment ref="AM17" authorId="0" shapeId="0" xr:uid="{00000000-0006-0000-2500-00000B000000}">
      <text>
        <r>
          <rPr>
            <b/>
            <sz val="9"/>
            <color indexed="81"/>
            <rFont val="Tahoma"/>
            <family val="2"/>
          </rPr>
          <t>&lt;[[TCDeals] - [TC Property Current Stage (Seq: 1)] Is HOME Funds - Send]&gt;</t>
        </r>
      </text>
    </comment>
    <comment ref="AR17" authorId="0" shapeId="0" xr:uid="{00000000-0006-0000-2500-00000C000000}">
      <text>
        <r>
          <rPr>
            <b/>
            <sz val="9"/>
            <color indexed="81"/>
            <rFont val="Tahoma"/>
            <family val="2"/>
          </rPr>
          <t>&lt;[[TCDeals] - [TC Property Current Stage (Seq: 1)] Mkt Section 221d3 Amt - Send]&gt;</t>
        </r>
      </text>
    </comment>
    <comment ref="AS17" authorId="0" shapeId="0" xr:uid="{00000000-0006-0000-2500-00000D000000}">
      <text>
        <r>
          <rPr>
            <b/>
            <sz val="9"/>
            <color indexed="81"/>
            <rFont val="Tahoma"/>
            <family val="2"/>
          </rPr>
          <t>&lt;[[TCDeals] - [TC Property Current Stage (Seq: 1)] Is Mkt Section 221d3 - Send]&gt;</t>
        </r>
      </text>
    </comment>
    <comment ref="AL19" authorId="0" shapeId="0" xr:uid="{00000000-0006-0000-2500-00000E000000}">
      <text>
        <r>
          <rPr>
            <b/>
            <sz val="9"/>
            <color indexed="81"/>
            <rFont val="Tahoma"/>
            <family val="2"/>
          </rPr>
          <t>&lt;[[TCDeals] - [TC Property Current Stage (Seq: 1)] CDBG Amt - Send]&gt;</t>
        </r>
      </text>
    </comment>
    <comment ref="AM19" authorId="0" shapeId="0" xr:uid="{00000000-0006-0000-2500-00000F000000}">
      <text>
        <r>
          <rPr>
            <b/>
            <sz val="9"/>
            <color indexed="81"/>
            <rFont val="Tahoma"/>
            <family val="2"/>
          </rPr>
          <t>&lt;[[TCDeals] - [TC Property Current Stage (Seq: 1)] Is CDBG - Send]&gt;</t>
        </r>
      </text>
    </comment>
    <comment ref="AR19" authorId="0" shapeId="0" xr:uid="{00000000-0006-0000-2500-000010000000}">
      <text>
        <r>
          <rPr>
            <b/>
            <sz val="9"/>
            <color indexed="81"/>
            <rFont val="Tahoma"/>
            <family val="2"/>
          </rPr>
          <t>&lt;[[TCDeals] - [TC Property Current Stage (Seq: 1)] Section 221d4 Amt - Send]&gt;</t>
        </r>
      </text>
    </comment>
    <comment ref="AS19" authorId="0" shapeId="0" xr:uid="{00000000-0006-0000-2500-000011000000}">
      <text>
        <r>
          <rPr>
            <b/>
            <sz val="9"/>
            <color indexed="81"/>
            <rFont val="Tahoma"/>
            <family val="2"/>
          </rPr>
          <t>&lt;[[TCDeals] - [TC Property Current Stage (Seq: 1)] Is Section 221d4 - Send]&gt;</t>
        </r>
      </text>
    </comment>
    <comment ref="AL21" authorId="0" shapeId="0" xr:uid="{00000000-0006-0000-2500-000012000000}">
      <text>
        <r>
          <rPr>
            <b/>
            <sz val="9"/>
            <color indexed="81"/>
            <rFont val="Tahoma"/>
            <family val="2"/>
          </rPr>
          <t>&lt;[[TCDeals] - [TC Property Current Stage (Seq: 1)] Section 221d3 Amt - Send]&gt;</t>
        </r>
      </text>
    </comment>
    <comment ref="AM21" authorId="0" shapeId="0" xr:uid="{00000000-0006-0000-2500-000013000000}">
      <text>
        <r>
          <rPr>
            <b/>
            <sz val="9"/>
            <color indexed="81"/>
            <rFont val="Tahoma"/>
            <family val="2"/>
          </rPr>
          <t>&lt;[[TCDeals] - [TC Property Current Stage (Seq: 1)] Is Section 221d3 - Send]&gt;</t>
        </r>
      </text>
    </comment>
    <comment ref="AR21" authorId="0" shapeId="0" xr:uid="{00000000-0006-0000-2500-000014000000}">
      <text>
        <r>
          <rPr>
            <b/>
            <sz val="9"/>
            <color indexed="81"/>
            <rFont val="Tahoma"/>
            <family val="2"/>
          </rPr>
          <t>&lt;[[TCDeals] - [TC Property Current Stage (Seq: 1)] Section 223f Amt - Send]&gt;</t>
        </r>
      </text>
    </comment>
    <comment ref="AS21" authorId="0" shapeId="0" xr:uid="{00000000-0006-0000-2500-000015000000}">
      <text>
        <r>
          <rPr>
            <b/>
            <sz val="9"/>
            <color indexed="81"/>
            <rFont val="Tahoma"/>
            <family val="2"/>
          </rPr>
          <t>&lt;[[TCDeals] - [TC Property Current Stage (Seq: 1)] Is Section 223f - Send]&gt;</t>
        </r>
      </text>
    </comment>
    <comment ref="AL23" authorId="0" shapeId="0" xr:uid="{00000000-0006-0000-2500-000016000000}">
      <text>
        <r>
          <rPr>
            <b/>
            <sz val="9"/>
            <color indexed="81"/>
            <rFont val="Tahoma"/>
            <family val="2"/>
          </rPr>
          <t>&lt;[[TCDeals] - [TC Property Current Stage (Seq: 1)] Section 236 Amt - Send]&gt;</t>
        </r>
      </text>
    </comment>
    <comment ref="AM23" authorId="0" shapeId="0" xr:uid="{00000000-0006-0000-2500-000017000000}">
      <text>
        <r>
          <rPr>
            <b/>
            <sz val="9"/>
            <color indexed="81"/>
            <rFont val="Tahoma"/>
            <family val="2"/>
          </rPr>
          <t>&lt;[[TCDeals] - [TC Property Current Stage (Seq: 1)] Is Section 236 - Send]&gt;</t>
        </r>
      </text>
    </comment>
    <comment ref="AR23" authorId="0" shapeId="0" xr:uid="{00000000-0006-0000-2500-000018000000}">
      <text>
        <r>
          <rPr>
            <b/>
            <sz val="9"/>
            <color indexed="81"/>
            <rFont val="Tahoma"/>
            <family val="2"/>
          </rPr>
          <t>&lt;[[TCDeals] - [TC Property Current Stage (Seq: 1)] Mkt Section 236 Amt - Send]&gt;</t>
        </r>
      </text>
    </comment>
    <comment ref="AS23" authorId="0" shapeId="0" xr:uid="{00000000-0006-0000-2500-000019000000}">
      <text>
        <r>
          <rPr>
            <b/>
            <sz val="9"/>
            <color indexed="81"/>
            <rFont val="Tahoma"/>
            <family val="2"/>
          </rPr>
          <t>&lt;[[TCDeals] - [TC Property Current Stage (Seq: 1)] Is Mkt Section 236 - Send]&gt;</t>
        </r>
      </text>
    </comment>
    <comment ref="AL25" authorId="0" shapeId="0" xr:uid="{00000000-0006-0000-2500-00001A000000}">
      <text>
        <r>
          <rPr>
            <b/>
            <sz val="9"/>
            <color indexed="81"/>
            <rFont val="Tahoma"/>
            <family val="2"/>
          </rPr>
          <t>&lt;[[TCDeals] - [TC Property Current Stage (Seq: 1)] Section 312 Amt - Send]&gt;</t>
        </r>
      </text>
    </comment>
    <comment ref="AM25" authorId="0" shapeId="0" xr:uid="{00000000-0006-0000-2500-00001B000000}">
      <text>
        <r>
          <rPr>
            <b/>
            <sz val="9"/>
            <color indexed="81"/>
            <rFont val="Tahoma"/>
            <family val="2"/>
          </rPr>
          <t>&lt;[[TCDeals] - [TC Property Current Stage (Seq: 1)] Is Section 312 - Send]&gt;</t>
        </r>
      </text>
    </comment>
    <comment ref="AO25" authorId="0" shapeId="0" xr:uid="{00000000-0006-0000-2500-00001C000000}">
      <text>
        <r>
          <rPr>
            <b/>
            <sz val="9"/>
            <color indexed="81"/>
            <rFont val="Tahoma"/>
            <family val="2"/>
          </rPr>
          <t>&lt;[[TCDeals] - [TC Property Current Stage (Seq: 1)] Mkt Other 1 Name - Send]&gt;</t>
        </r>
      </text>
    </comment>
    <comment ref="AR25" authorId="0" shapeId="0" xr:uid="{00000000-0006-0000-2500-00001D000000}">
      <text>
        <r>
          <rPr>
            <b/>
            <sz val="9"/>
            <color indexed="81"/>
            <rFont val="Tahoma"/>
            <family val="2"/>
          </rPr>
          <t>&lt;[[TCDeals] - [TC Property Current Stage (Seq: 1)] Mkt Other 1 Amt - Send]&gt;</t>
        </r>
      </text>
    </comment>
    <comment ref="AS25" authorId="0" shapeId="0" xr:uid="{00000000-0006-0000-2500-00001E000000}">
      <text>
        <r>
          <rPr>
            <b/>
            <sz val="9"/>
            <color indexed="81"/>
            <rFont val="Tahoma"/>
            <family val="2"/>
          </rPr>
          <t>&lt;[[TCDeals] - [TC Property Current Stage (Seq: 1)] Is Mkt Other1 - Send]&gt;</t>
        </r>
      </text>
    </comment>
    <comment ref="AE27" authorId="0" shapeId="0" xr:uid="{00000000-0006-0000-2500-00001F000000}">
      <text>
        <r>
          <rPr>
            <b/>
            <sz val="9"/>
            <color indexed="81"/>
            <rFont val="Tahoma"/>
            <family val="2"/>
          </rPr>
          <t>&lt;[[TCDeals] - [TC Property Current Stage (Seq: 1)] Below Mkt Other 1 Name - Send]&gt;</t>
        </r>
      </text>
    </comment>
    <comment ref="AL27" authorId="0" shapeId="0" xr:uid="{00000000-0006-0000-2500-000020000000}">
      <text>
        <r>
          <rPr>
            <b/>
            <sz val="9"/>
            <color indexed="81"/>
            <rFont val="Tahoma"/>
            <family val="2"/>
          </rPr>
          <t>&lt;[[TCDeals] - [TC Property Current Stage (Seq: 1)] Below Mkt Other 1 Amount - Send]&gt;</t>
        </r>
      </text>
    </comment>
    <comment ref="AM27" authorId="0" shapeId="0" xr:uid="{00000000-0006-0000-2500-000021000000}">
      <text>
        <r>
          <rPr>
            <b/>
            <sz val="9"/>
            <color indexed="81"/>
            <rFont val="Tahoma"/>
            <family val="2"/>
          </rPr>
          <t>&lt;[[TCDeals] - [TC Property Current Stage (Seq: 1)] Is Below Mkt Other 1 - Send]&gt;</t>
        </r>
      </text>
    </comment>
    <comment ref="AE29" authorId="0" shapeId="0" xr:uid="{00000000-0006-0000-2500-000022000000}">
      <text>
        <r>
          <rPr>
            <b/>
            <sz val="9"/>
            <color indexed="81"/>
            <rFont val="Tahoma"/>
            <family val="2"/>
          </rPr>
          <t>&lt;[[TCDeals] - [TC Property Current Stage (Seq: 1)] Below Mkt Other 2 Name - Send]&gt;</t>
        </r>
      </text>
    </comment>
    <comment ref="AL29" authorId="0" shapeId="0" xr:uid="{00000000-0006-0000-2500-000023000000}">
      <text>
        <r>
          <rPr>
            <b/>
            <sz val="9"/>
            <color indexed="81"/>
            <rFont val="Tahoma"/>
            <family val="2"/>
          </rPr>
          <t>&lt;[[TCDeals] - [TC Property Current Stage (Seq: 1)] Below Mkt Other 2 Amount - Send]&gt;</t>
        </r>
      </text>
    </comment>
    <comment ref="AM29" authorId="0" shapeId="0" xr:uid="{00000000-0006-0000-2500-000024000000}">
      <text>
        <r>
          <rPr>
            <b/>
            <sz val="9"/>
            <color indexed="81"/>
            <rFont val="Tahoma"/>
            <family val="2"/>
          </rPr>
          <t>&lt;[[TCDeals] - [TC Property Current Stage (Seq: 1)] Is Below Mkt Other 2 - Send]&gt;</t>
        </r>
      </text>
    </comment>
    <comment ref="AR52" authorId="0" shapeId="0" xr:uid="{00000000-0006-0000-2500-000025000000}">
      <text>
        <r>
          <rPr>
            <b/>
            <sz val="9"/>
            <color indexed="81"/>
            <rFont val="Tahoma"/>
            <family val="2"/>
          </rPr>
          <t>&lt;[[TCDeals] - [TC Property Current Stage (Seq: 1)] State Grant Amt - Send]&gt;</t>
        </r>
      </text>
    </comment>
    <comment ref="AS52" authorId="0" shapeId="0" xr:uid="{00000000-0006-0000-2500-000026000000}">
      <text>
        <r>
          <rPr>
            <b/>
            <sz val="9"/>
            <color indexed="81"/>
            <rFont val="Tahoma"/>
            <family val="2"/>
          </rPr>
          <t>&lt;[[TCDeals] - [TC Property Current Stage (Seq: 1)] Is State Grant - Send]&gt;</t>
        </r>
      </text>
    </comment>
    <comment ref="AR54" authorId="0" shapeId="0" xr:uid="{00000000-0006-0000-2500-000027000000}">
      <text>
        <r>
          <rPr>
            <b/>
            <sz val="9"/>
            <color indexed="81"/>
            <rFont val="Tahoma"/>
            <family val="2"/>
          </rPr>
          <t>&lt;[[TCDeals] - [TC Property Current Stage (Seq: 1)] Local Grant Amt - Send]&gt;</t>
        </r>
      </text>
    </comment>
    <comment ref="AS54" authorId="0" shapeId="0" xr:uid="{00000000-0006-0000-2500-000028000000}">
      <text>
        <r>
          <rPr>
            <b/>
            <sz val="9"/>
            <color indexed="81"/>
            <rFont val="Tahoma"/>
            <family val="2"/>
          </rPr>
          <t>&lt;[[TCDeals] - [TC Property Current Stage (Seq: 1)] Is Local Grant - Send]&gt;</t>
        </r>
      </text>
    </comment>
    <comment ref="AM56" authorId="0" shapeId="0" xr:uid="{00000000-0006-0000-2500-000029000000}">
      <text>
        <r>
          <rPr>
            <b/>
            <sz val="9"/>
            <color indexed="81"/>
            <rFont val="Tahoma"/>
            <family val="2"/>
          </rPr>
          <t>&lt;[[TCDeals] - [TC Property Current Stage (Seq: 1)] Other Grant Name - Send]&gt;</t>
        </r>
      </text>
    </comment>
    <comment ref="AR56" authorId="0" shapeId="0" xr:uid="{00000000-0006-0000-2500-00002A000000}">
      <text>
        <r>
          <rPr>
            <b/>
            <sz val="9"/>
            <color indexed="81"/>
            <rFont val="Tahoma"/>
            <family val="2"/>
          </rPr>
          <t>&lt;[[TCDeals] - [TC Property Current Stage (Seq: 1)] Other Grant Amt - Send]&gt;</t>
        </r>
      </text>
    </comment>
    <comment ref="AS56" authorId="0" shapeId="0" xr:uid="{00000000-0006-0000-2500-00002B000000}">
      <text>
        <r>
          <rPr>
            <b/>
            <sz val="9"/>
            <color indexed="81"/>
            <rFont val="Tahoma"/>
            <family val="2"/>
          </rPr>
          <t>&lt;[[TCDeals] - [TC Property Current Stage (Seq: 1)] Is Other Grant - Send]&gt;</t>
        </r>
      </text>
    </comment>
    <comment ref="AR58" authorId="0" shapeId="0" xr:uid="{00000000-0006-0000-2500-00002C000000}">
      <text>
        <r>
          <rPr>
            <b/>
            <sz val="9"/>
            <color indexed="81"/>
            <rFont val="Tahoma"/>
            <family val="2"/>
          </rPr>
          <t>&lt;[[TCDeals] - [TC Property Current Stage (Seq: 1)] Is Tax Abatement - Send]&gt;</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C5" authorId="0" shapeId="0" xr:uid="{00000000-0006-0000-2600-000001000000}">
      <text>
        <r>
          <rPr>
            <sz val="9"/>
            <color indexed="81"/>
            <rFont val="Tahoma"/>
            <family val="2"/>
          </rPr>
          <t>Answer to this section should be "Property Type" in the letter to the CEO of the local jurisdiction.</t>
        </r>
      </text>
    </comment>
    <comment ref="C8" authorId="0" shapeId="0" xr:uid="{00000000-0006-0000-2600-000003000000}">
      <text>
        <r>
          <rPr>
            <sz val="9"/>
            <color indexed="81"/>
            <rFont val="Tahoma"/>
            <family val="2"/>
          </rPr>
          <t>Answer to this section should be "Occupancy Type" in the letter to the CEO of the local jurisdiction.</t>
        </r>
      </text>
    </comment>
    <comment ref="AF8" authorId="0" shapeId="0" xr:uid="{00000000-0006-0000-2600-000004000000}">
      <text>
        <r>
          <rPr>
            <b/>
            <sz val="9"/>
            <color indexed="81"/>
            <rFont val="Tahoma"/>
            <family val="2"/>
          </rPr>
          <t>&lt;[[TCDeals] - [TC Property Current Stage (Seq: 1)] Target Type - Send]&gt;</t>
        </r>
      </text>
    </comment>
    <comment ref="C10" authorId="0" shapeId="0" xr:uid="{00000000-0006-0000-2600-000005000000}">
      <text>
        <r>
          <rPr>
            <sz val="9"/>
            <color indexed="81"/>
            <rFont val="Tahoma"/>
            <family val="2"/>
          </rPr>
          <t>Answer to this section should be "Building Type" in the letter to the CEO of the local jurisdiction.</t>
        </r>
      </text>
    </comment>
    <comment ref="AD21" authorId="0" shapeId="0" xr:uid="{00000000-0006-0000-2600-000007000000}">
      <text>
        <r>
          <rPr>
            <b/>
            <sz val="9"/>
            <color indexed="81"/>
            <rFont val="Tahoma"/>
            <family val="2"/>
          </rPr>
          <t>&lt;[[TCDeals] - [TC Property Current Stage (Seq: 1)] Total Units - Send]&gt;</t>
        </r>
      </text>
    </comment>
    <comment ref="AD25" authorId="0" shapeId="0" xr:uid="{00000000-0006-0000-2600-000008000000}">
      <text>
        <r>
          <rPr>
            <b/>
            <sz val="9"/>
            <color indexed="81"/>
            <rFont val="Tahoma"/>
            <family val="2"/>
          </rPr>
          <t>&lt;[[TCDeals] - [TC Property Current Stage (Seq: 1)] Num Buildings - Send]&gt;</t>
        </r>
      </text>
    </comment>
    <comment ref="AH37" authorId="0" shapeId="0" xr:uid="{00000000-0006-0000-2600-000009000000}">
      <text>
        <r>
          <rPr>
            <b/>
            <sz val="9"/>
            <color indexed="81"/>
            <rFont val="Tahoma"/>
            <family val="2"/>
          </rPr>
          <t>&lt;[[TCDeals] - [TC Property Current Stage (Seq: 1)] Commercial Sq Ft - Send]&gt;</t>
        </r>
      </text>
    </comment>
    <comment ref="AH39" authorId="0" shapeId="0" xr:uid="{00000000-0006-0000-2600-00000A000000}">
      <text>
        <r>
          <rPr>
            <b/>
            <sz val="9"/>
            <color indexed="81"/>
            <rFont val="Tahoma"/>
            <family val="2"/>
          </rPr>
          <t>&lt;[[TCDeals] - [TC Property Current Stage (Seq: 1)] Total Residential Heated Sq Ft - Send]&gt;</t>
        </r>
      </text>
    </comment>
    <comment ref="AH41" authorId="0" shapeId="0" xr:uid="{00000000-0006-0000-2600-00000B000000}">
      <text>
        <r>
          <rPr>
            <b/>
            <sz val="9"/>
            <color indexed="81"/>
            <rFont val="Tahoma"/>
            <family val="2"/>
          </rPr>
          <t>&lt;[[TCDeals] - [TC Property Current Stage (Seq: 1)] Unheated Floor Sq Ft - Send]&gt;</t>
        </r>
      </text>
    </comment>
    <comment ref="AH43" authorId="0" shapeId="0" xr:uid="{00000000-0006-0000-2600-00000C000000}">
      <text>
        <r>
          <rPr>
            <b/>
            <sz val="9"/>
            <color indexed="81"/>
            <rFont val="Tahoma"/>
            <family val="2"/>
          </rPr>
          <t>&lt;[[TCDeals] - [TC Property Current Stage (Seq: 1)] Total Floor Sq Ft - Send]&gt;</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T14" authorId="0" shapeId="0" xr:uid="{00000000-0006-0000-2900-000001000000}">
      <text>
        <r>
          <rPr>
            <b/>
            <sz val="9"/>
            <color indexed="81"/>
            <rFont val="Tahoma"/>
            <family val="2"/>
          </rPr>
          <t>&lt;[[TCDeals] - [TC Property Current Stage (Seq: 1)] Tax Accountant Firm Name - Send]&gt;</t>
        </r>
      </text>
    </comment>
    <comment ref="T15" authorId="0" shapeId="0" xr:uid="{00000000-0006-0000-2900-000002000000}">
      <text>
        <r>
          <rPr>
            <b/>
            <sz val="9"/>
            <color indexed="81"/>
            <rFont val="Tahoma"/>
            <family val="2"/>
          </rPr>
          <t>&lt;[[TCDeals] - [TC Property Current Stage (Seq: 1)] Tax Accountant Contact Name - Send]&gt;</t>
        </r>
      </text>
    </comment>
    <comment ref="Y15" authorId="0" shapeId="0" xr:uid="{00000000-0006-0000-2900-000003000000}">
      <text>
        <r>
          <rPr>
            <b/>
            <sz val="9"/>
            <color indexed="81"/>
            <rFont val="Tahoma"/>
            <family val="2"/>
          </rPr>
          <t>&lt;[[TCDeals] - [TC Property Current Stage (Seq: 1)] Is Tax Accountant Related Entity - Send]&gt;</t>
        </r>
      </text>
    </comment>
    <comment ref="T22" authorId="0" shapeId="0" xr:uid="{00000000-0006-0000-2900-000004000000}">
      <text>
        <r>
          <rPr>
            <b/>
            <sz val="9"/>
            <color indexed="81"/>
            <rFont val="Tahoma"/>
            <family val="2"/>
          </rPr>
          <t>&lt;[[TCDeals] - [TC Property Current Stage (Seq: 1)] Architect Firm Name - Send]&gt;</t>
        </r>
      </text>
    </comment>
    <comment ref="T23" authorId="0" shapeId="0" xr:uid="{00000000-0006-0000-2900-000005000000}">
      <text>
        <r>
          <rPr>
            <b/>
            <sz val="9"/>
            <color indexed="81"/>
            <rFont val="Tahoma"/>
            <family val="2"/>
          </rPr>
          <t>&lt;[[TCDeals] - [TC Property Current Stage (Seq: 1)] Architect Contact Name - Send]&gt;</t>
        </r>
      </text>
    </comment>
    <comment ref="Y23" authorId="0" shapeId="0" xr:uid="{00000000-0006-0000-2900-000006000000}">
      <text>
        <r>
          <rPr>
            <b/>
            <sz val="9"/>
            <color indexed="81"/>
            <rFont val="Tahoma"/>
            <family val="2"/>
          </rPr>
          <t>&lt;[[TCDeals] - [TC Property Current Stage (Seq: 1)] Is Architect Related Entity - Send]&gt;</t>
        </r>
      </text>
    </comment>
    <comment ref="T38" authorId="0" shapeId="0" xr:uid="{00000000-0006-0000-2900-000007000000}">
      <text>
        <r>
          <rPr>
            <b/>
            <sz val="9"/>
            <color indexed="81"/>
            <rFont val="Tahoma"/>
            <family val="2"/>
          </rPr>
          <t>&lt;[[TCDeals] - [TC Property Current Stage (Seq: 1)] Consultant Firm Name - Send]&gt;</t>
        </r>
      </text>
    </comment>
    <comment ref="T39" authorId="0" shapeId="0" xr:uid="{00000000-0006-0000-2900-000008000000}">
      <text>
        <r>
          <rPr>
            <b/>
            <sz val="9"/>
            <color indexed="81"/>
            <rFont val="Tahoma"/>
            <family val="2"/>
          </rPr>
          <t>&lt;[[TCDeals] - [TC Property Current Stage (Seq: 1)] Consultant Contact Name - Send]&gt;</t>
        </r>
      </text>
    </comment>
    <comment ref="Y39" authorId="0" shapeId="0" xr:uid="{00000000-0006-0000-2900-000009000000}">
      <text>
        <r>
          <rPr>
            <b/>
            <sz val="9"/>
            <color indexed="81"/>
            <rFont val="Tahoma"/>
            <family val="2"/>
          </rPr>
          <t>&lt;[[TCDeals] - [TC Property Current Stage (Seq: 1)] Is Consultant Related Entity - Send]&gt;</t>
        </r>
      </text>
    </comment>
    <comment ref="T42" authorId="0" shapeId="0" xr:uid="{00000000-0006-0000-2900-00000A000000}">
      <text>
        <r>
          <rPr>
            <b/>
            <sz val="9"/>
            <color indexed="81"/>
            <rFont val="Tahoma"/>
            <family val="2"/>
          </rPr>
          <t>&lt;[[TCDeals] - [TC Property Current Stage (Seq: 1)] Contractor Firm Name - Send]&gt;</t>
        </r>
      </text>
    </comment>
    <comment ref="T43" authorId="0" shapeId="0" xr:uid="{00000000-0006-0000-2900-00000B000000}">
      <text>
        <r>
          <rPr>
            <b/>
            <sz val="9"/>
            <color indexed="81"/>
            <rFont val="Tahoma"/>
            <family val="2"/>
          </rPr>
          <t>&lt;[[TCDeals] - [TC Property Current Stage (Seq: 1)] Contractor Contact Name - Send]&gt;</t>
        </r>
      </text>
    </comment>
    <comment ref="Y43" authorId="0" shapeId="0" xr:uid="{00000000-0006-0000-2900-00000C000000}">
      <text>
        <r>
          <rPr>
            <b/>
            <sz val="9"/>
            <color indexed="81"/>
            <rFont val="Tahoma"/>
            <family val="2"/>
          </rPr>
          <t>&lt;[[TCDeals] - [TC Property Current Stage (Seq: 1)] Is Contractor Related Entity - Send]&gt;</t>
        </r>
      </text>
    </comment>
    <comment ref="T50" authorId="0" shapeId="0" xr:uid="{00000000-0006-0000-2900-00000D000000}">
      <text>
        <r>
          <rPr>
            <b/>
            <sz val="9"/>
            <color indexed="81"/>
            <rFont val="Tahoma"/>
            <family val="2"/>
          </rPr>
          <t>&lt;[[TCDeals] - [TC Property Current Stage (Seq: 1)] Mgt Entity Firm Name - Send]&gt;</t>
        </r>
      </text>
    </comment>
    <comment ref="T51" authorId="0" shapeId="0" xr:uid="{00000000-0006-0000-2900-00000E000000}">
      <text>
        <r>
          <rPr>
            <b/>
            <sz val="9"/>
            <color indexed="81"/>
            <rFont val="Tahoma"/>
            <family val="2"/>
          </rPr>
          <t>&lt;[[TCDeals] - [TC Property Current Stage (Seq: 1)] Mgt Entity Contact Name - Send]&gt;</t>
        </r>
      </text>
    </comment>
    <comment ref="Y51" authorId="0" shapeId="0" xr:uid="{00000000-0006-0000-2900-00000F000000}">
      <text>
        <r>
          <rPr>
            <b/>
            <sz val="9"/>
            <color indexed="81"/>
            <rFont val="Tahoma"/>
            <family val="2"/>
          </rPr>
          <t>&lt;[[TCDeals] - [TC Property Current Stage (Seq: 1)] Is Mgt Entity Related Entity - Send]&gt;</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Michelle Wilshere</author>
    <author>LIHTCP12</author>
  </authors>
  <commentList>
    <comment ref="L25" authorId="0" shapeId="0" xr:uid="{00000000-0006-0000-2A00-000001000000}">
      <text>
        <r>
          <rPr>
            <sz val="9"/>
            <color indexed="81"/>
            <rFont val="Tahoma"/>
            <family val="2"/>
          </rPr>
          <t>Must be TRUE, or the application will not be acceptable.</t>
        </r>
      </text>
    </comment>
    <comment ref="O49" authorId="1" shapeId="0" xr:uid="{00000000-0006-0000-2A00-000002000000}">
      <text>
        <r>
          <rPr>
            <b/>
            <sz val="9"/>
            <color indexed="81"/>
            <rFont val="Tahoma"/>
            <family val="2"/>
          </rPr>
          <t>&lt;[[TCDeals] - [Fees (Seq: 1)] Amount - Send]&gt;</t>
        </r>
      </text>
    </comment>
    <comment ref="P49" authorId="1" shapeId="0" xr:uid="{00000000-0006-0000-2A00-000003000000}">
      <text>
        <r>
          <rPr>
            <b/>
            <sz val="9"/>
            <color indexed="81"/>
            <rFont val="Tahoma"/>
            <family val="2"/>
          </rPr>
          <t>&lt;[[TCDeals] - [Fees (Seq: 1)] TC Deal Fee Type - Send]&gt;</t>
        </r>
      </text>
    </comment>
    <comment ref="O55" authorId="1" shapeId="0" xr:uid="{00000000-0006-0000-2A00-000004000000}">
      <text>
        <r>
          <rPr>
            <b/>
            <sz val="9"/>
            <color indexed="81"/>
            <rFont val="Tahoma"/>
            <family val="2"/>
          </rPr>
          <t>&lt;[[TCDeals] - [Fees (Seq: 2)] Amount - Send]&gt;</t>
        </r>
      </text>
    </comment>
    <comment ref="P55" authorId="1" shapeId="0" xr:uid="{00000000-0006-0000-2A00-000005000000}">
      <text>
        <r>
          <rPr>
            <b/>
            <sz val="9"/>
            <color indexed="81"/>
            <rFont val="Tahoma"/>
            <family val="2"/>
          </rPr>
          <t>&lt;[[TCDeals] - [Fees (Seq: 2)] TC Deal Fee Type - Send]&gt;</t>
        </r>
      </text>
    </comment>
    <comment ref="O57" authorId="1" shapeId="0" xr:uid="{00000000-0006-0000-2A00-000006000000}">
      <text>
        <r>
          <rPr>
            <b/>
            <sz val="9"/>
            <color indexed="81"/>
            <rFont val="Tahoma"/>
            <family val="2"/>
          </rPr>
          <t>&lt;[[TCDeals] - [Fees (Seq: 3)] Amount - Send]&gt;</t>
        </r>
      </text>
    </comment>
    <comment ref="P57" authorId="1" shapeId="0" xr:uid="{00000000-0006-0000-2A00-000007000000}">
      <text>
        <r>
          <rPr>
            <b/>
            <sz val="9"/>
            <color indexed="81"/>
            <rFont val="Tahoma"/>
            <family val="2"/>
          </rPr>
          <t>&lt;[[TCDeals] - [Fees (Seq: 3)] TC Deal Fee Type - Send]&gt;</t>
        </r>
      </text>
    </comment>
    <comment ref="O58" authorId="1" shapeId="0" xr:uid="{00000000-0006-0000-2A00-000008000000}">
      <text>
        <r>
          <rPr>
            <b/>
            <sz val="9"/>
            <color indexed="81"/>
            <rFont val="Tahoma"/>
            <family val="2"/>
          </rPr>
          <t>&lt;[[TCDeals] - [Fees (Seq: 4)] Amount - Send]&gt;</t>
        </r>
      </text>
    </comment>
    <comment ref="P58" authorId="1" shapeId="0" xr:uid="{00000000-0006-0000-2A00-000009000000}">
      <text>
        <r>
          <rPr>
            <b/>
            <sz val="9"/>
            <color indexed="81"/>
            <rFont val="Tahoma"/>
            <family val="2"/>
          </rPr>
          <t>&lt;[[TCDeals] - [Fees (Seq: 4)] TC Deal Fee Type - Send]&gt;</t>
        </r>
      </text>
    </comment>
    <comment ref="O59" authorId="0" shapeId="0" xr:uid="{00000000-0006-0000-2A00-00000A000000}">
      <text>
        <r>
          <rPr>
            <b/>
            <sz val="9"/>
            <color indexed="81"/>
            <rFont val="Tahoma"/>
            <family val="2"/>
          </rPr>
          <t>&lt;[[TCDeals] - [Fees (Seq: 5)] Amount - Send]&gt;</t>
        </r>
      </text>
    </comment>
    <comment ref="P59" authorId="0" shapeId="0" xr:uid="{00000000-0006-0000-2A00-00000B000000}">
      <text>
        <r>
          <rPr>
            <b/>
            <sz val="9"/>
            <color indexed="81"/>
            <rFont val="Tahoma"/>
            <family val="2"/>
          </rPr>
          <t>&lt;[[TCDeals] - [Fees (Seq: 5)] TC Deal Fee Type - Send]&gt;</t>
        </r>
      </text>
    </comment>
    <comment ref="O61" authorId="0" shapeId="0" xr:uid="{00000000-0006-0000-2A00-00000C000000}">
      <text>
        <r>
          <rPr>
            <b/>
            <sz val="9"/>
            <color indexed="81"/>
            <rFont val="Tahoma"/>
            <family val="2"/>
          </rPr>
          <t>&lt;[[TCDeals] - [Fees (Seq: 6)] Amount - Send]&gt;</t>
        </r>
      </text>
    </comment>
    <comment ref="P61" authorId="0" shapeId="0" xr:uid="{00000000-0006-0000-2A00-00000D000000}">
      <text>
        <r>
          <rPr>
            <b/>
            <sz val="9"/>
            <color indexed="81"/>
            <rFont val="Tahoma"/>
            <family val="2"/>
          </rPr>
          <t>&lt;[[TCDeals] - [Fees (Seq: 6)] TC Deal Fee Type - Send]&gt;</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S8" authorId="0" shapeId="0" xr:uid="{00000000-0006-0000-2B00-000001000000}">
      <text>
        <r>
          <rPr>
            <b/>
            <sz val="9"/>
            <color indexed="81"/>
            <rFont val="Tahoma"/>
            <family val="2"/>
          </rPr>
          <t>&lt;[[TCDeals] - [TC Property Current Stage (Seq: 1)] - [Buildings (Seq: 1)] Acq PIS Date - Send]&gt;</t>
        </r>
      </text>
    </comment>
    <comment ref="T8" authorId="0" shapeId="0" xr:uid="{00000000-0006-0000-2B00-000002000000}">
      <text>
        <r>
          <rPr>
            <b/>
            <sz val="9"/>
            <color indexed="81"/>
            <rFont val="Tahoma"/>
            <family val="2"/>
          </rPr>
          <t>&lt;[[TCDeals] - [TC Property Current Stage (Seq: 1)] - [Buildings (Seq: 2)] Acq PIS Date - Send]&gt;</t>
        </r>
      </text>
    </comment>
    <comment ref="U8" authorId="0" shapeId="0" xr:uid="{00000000-0006-0000-2B00-000003000000}">
      <text>
        <r>
          <rPr>
            <b/>
            <sz val="9"/>
            <color indexed="81"/>
            <rFont val="Tahoma"/>
            <family val="2"/>
          </rPr>
          <t>&lt;[[TCDeals] - [TC Property Current Stage (Seq: 1)] - [Buildings (Seq: 3)] Acq PIS Date - Send]&gt;</t>
        </r>
      </text>
    </comment>
    <comment ref="V8" authorId="0" shapeId="0" xr:uid="{00000000-0006-0000-2B00-000004000000}">
      <text>
        <r>
          <rPr>
            <b/>
            <sz val="9"/>
            <color indexed="81"/>
            <rFont val="Tahoma"/>
            <family val="2"/>
          </rPr>
          <t>&lt;[[TCDeals] - [TC Property Current Stage (Seq: 1)] - [Buildings (Seq: 4)] Acq PIS Date - Send]&gt;</t>
        </r>
      </text>
    </comment>
    <comment ref="S9" authorId="0" shapeId="0" xr:uid="{00000000-0006-0000-2B00-000005000000}">
      <text>
        <r>
          <rPr>
            <b/>
            <sz val="9"/>
            <color indexed="81"/>
            <rFont val="Tahoma"/>
            <family val="2"/>
          </rPr>
          <t>&lt;[[TCDeals] - [TC Property Current Stage (Seq: 1)] - [Buildings (Seq: 1)] PVC PIS Date - Send]&gt;</t>
        </r>
      </text>
    </comment>
    <comment ref="T9" authorId="0" shapeId="0" xr:uid="{00000000-0006-0000-2B00-000006000000}">
      <text>
        <r>
          <rPr>
            <b/>
            <sz val="9"/>
            <color indexed="81"/>
            <rFont val="Tahoma"/>
            <family val="2"/>
          </rPr>
          <t>&lt;[[TCDeals] - [TC Property Current Stage (Seq: 1)] - [Buildings (Seq: 2)] PVC PIS Date - Send]&gt;</t>
        </r>
      </text>
    </comment>
    <comment ref="U9" authorId="0" shapeId="0" xr:uid="{00000000-0006-0000-2B00-000007000000}">
      <text>
        <r>
          <rPr>
            <b/>
            <sz val="9"/>
            <color indexed="81"/>
            <rFont val="Tahoma"/>
            <family val="2"/>
          </rPr>
          <t>&lt;[[TCDeals] - [TC Property Current Stage (Seq: 1)] - [Buildings (Seq: 3)] PVC PIS Date - Send]&gt;</t>
        </r>
      </text>
    </comment>
    <comment ref="V9" authorId="0" shapeId="0" xr:uid="{00000000-0006-0000-2B00-000008000000}">
      <text>
        <r>
          <rPr>
            <b/>
            <sz val="9"/>
            <color indexed="81"/>
            <rFont val="Tahoma"/>
            <family val="2"/>
          </rPr>
          <t>&lt;[[TCDeals] - [TC Property Current Stage (Seq: 1)] - [Buildings (Seq: 4)] PVC PIS Date - Send]&gt;</t>
        </r>
      </text>
    </comment>
    <comment ref="S12" authorId="0" shapeId="0" xr:uid="{00000000-0006-0000-2B00-000009000000}">
      <text>
        <r>
          <rPr>
            <b/>
            <sz val="9"/>
            <color indexed="81"/>
            <rFont val="Tahoma"/>
            <family val="2"/>
          </rPr>
          <t>&lt;[[TCDeals] - [TC Property Current Stage (Seq: 1)] - [Buildings (Seq: 5)] Acq PIS Date - Send]&gt;</t>
        </r>
      </text>
    </comment>
    <comment ref="T12" authorId="0" shapeId="0" xr:uid="{00000000-0006-0000-2B00-00000A000000}">
      <text>
        <r>
          <rPr>
            <b/>
            <sz val="9"/>
            <color indexed="81"/>
            <rFont val="Tahoma"/>
            <family val="2"/>
          </rPr>
          <t>&lt;[[TCDeals] - [TC Property Current Stage (Seq: 1)] - [Buildings (Seq: 6)] Acq PIS Date - Send]&gt;</t>
        </r>
      </text>
    </comment>
    <comment ref="U12" authorId="0" shapeId="0" xr:uid="{00000000-0006-0000-2B00-00000B000000}">
      <text>
        <r>
          <rPr>
            <b/>
            <sz val="9"/>
            <color indexed="81"/>
            <rFont val="Tahoma"/>
            <family val="2"/>
          </rPr>
          <t>&lt;[[TCDeals] - [TC Property Current Stage (Seq: 1)] - [Buildings (Seq: 7)] Acq PIS Date - Send]&gt;</t>
        </r>
      </text>
    </comment>
    <comment ref="V12" authorId="0" shapeId="0" xr:uid="{00000000-0006-0000-2B00-00000C000000}">
      <text>
        <r>
          <rPr>
            <b/>
            <sz val="9"/>
            <color indexed="81"/>
            <rFont val="Tahoma"/>
            <family val="2"/>
          </rPr>
          <t>&lt;[[TCDeals] - [TC Property Current Stage (Seq: 1)] - [Buildings (Seq: 8)] Acq PIS Date - Send]&gt;</t>
        </r>
      </text>
    </comment>
    <comment ref="S13" authorId="0" shapeId="0" xr:uid="{00000000-0006-0000-2B00-00000D000000}">
      <text>
        <r>
          <rPr>
            <b/>
            <sz val="9"/>
            <color indexed="81"/>
            <rFont val="Tahoma"/>
            <family val="2"/>
          </rPr>
          <t>&lt;[[TCDeals] - [TC Property Current Stage (Seq: 1)] - [Buildings (Seq: 5)] PVC PIS Date - Send]&gt;</t>
        </r>
      </text>
    </comment>
    <comment ref="T13" authorId="0" shapeId="0" xr:uid="{00000000-0006-0000-2B00-00000E000000}">
      <text>
        <r>
          <rPr>
            <b/>
            <sz val="9"/>
            <color indexed="81"/>
            <rFont val="Tahoma"/>
            <family val="2"/>
          </rPr>
          <t>&lt;[[TCDeals] - [TC Property Current Stage (Seq: 1)] - [Buildings (Seq: 6)] PVC PIS Date - Send]&gt;</t>
        </r>
      </text>
    </comment>
    <comment ref="U13" authorId="0" shapeId="0" xr:uid="{00000000-0006-0000-2B00-00000F000000}">
      <text>
        <r>
          <rPr>
            <b/>
            <sz val="9"/>
            <color indexed="81"/>
            <rFont val="Tahoma"/>
            <family val="2"/>
          </rPr>
          <t>&lt;[[TCDeals] - [TC Property Current Stage (Seq: 1)] - [Buildings (Seq: 7)] PVC PIS Date - Send]&gt;</t>
        </r>
      </text>
    </comment>
    <comment ref="V13" authorId="0" shapeId="0" xr:uid="{00000000-0006-0000-2B00-000010000000}">
      <text>
        <r>
          <rPr>
            <b/>
            <sz val="9"/>
            <color indexed="81"/>
            <rFont val="Tahoma"/>
            <family val="2"/>
          </rPr>
          <t>&lt;[[TCDeals] - [TC Property Current Stage (Seq: 1)] - [Buildings (Seq: 8)] PVC PIS Date - Send]&gt;</t>
        </r>
      </text>
    </comment>
    <comment ref="S16" authorId="0" shapeId="0" xr:uid="{00000000-0006-0000-2B00-000011000000}">
      <text>
        <r>
          <rPr>
            <b/>
            <sz val="9"/>
            <color indexed="81"/>
            <rFont val="Tahoma"/>
            <family val="2"/>
          </rPr>
          <t>&lt;[[TCDeals] - [TC Property Current Stage (Seq: 1)] - [Buildings (Seq: 9)] Acq PIS Date - Send]&gt;</t>
        </r>
      </text>
    </comment>
    <comment ref="T16" authorId="0" shapeId="0" xr:uid="{00000000-0006-0000-2B00-000012000000}">
      <text>
        <r>
          <rPr>
            <b/>
            <sz val="9"/>
            <color indexed="81"/>
            <rFont val="Tahoma"/>
            <family val="2"/>
          </rPr>
          <t>&lt;[[TCDeals] - [TC Property Current Stage (Seq: 1)] - [Buildings (Seq: 10)] Acq PIS Date - Send]&gt;</t>
        </r>
      </text>
    </comment>
    <comment ref="U16" authorId="0" shapeId="0" xr:uid="{00000000-0006-0000-2B00-000013000000}">
      <text>
        <r>
          <rPr>
            <b/>
            <sz val="9"/>
            <color indexed="81"/>
            <rFont val="Tahoma"/>
            <family val="2"/>
          </rPr>
          <t>&lt;[[TCDeals] - [TC Property Current Stage (Seq: 1)] - [Buildings (Seq: 11)] Acq PIS Date - Send]&gt;</t>
        </r>
      </text>
    </comment>
    <comment ref="V16" authorId="0" shapeId="0" xr:uid="{00000000-0006-0000-2B00-000014000000}">
      <text>
        <r>
          <rPr>
            <b/>
            <sz val="9"/>
            <color indexed="81"/>
            <rFont val="Tahoma"/>
            <family val="2"/>
          </rPr>
          <t>&lt;[[TCDeals] - [TC Property Current Stage (Seq: 1)] - [Buildings (Seq: 12)] Acq PIS Date - Send]&gt;</t>
        </r>
      </text>
    </comment>
    <comment ref="S17" authorId="0" shapeId="0" xr:uid="{00000000-0006-0000-2B00-000015000000}">
      <text>
        <r>
          <rPr>
            <b/>
            <sz val="9"/>
            <color indexed="81"/>
            <rFont val="Tahoma"/>
            <family val="2"/>
          </rPr>
          <t>&lt;[[TCDeals] - [TC Property Current Stage (Seq: 1)] - [Buildings (Seq: 9)] PVC PIS Date - Send]&gt;</t>
        </r>
      </text>
    </comment>
    <comment ref="T17" authorId="0" shapeId="0" xr:uid="{00000000-0006-0000-2B00-000016000000}">
      <text>
        <r>
          <rPr>
            <b/>
            <sz val="9"/>
            <color indexed="81"/>
            <rFont val="Tahoma"/>
            <family val="2"/>
          </rPr>
          <t>&lt;[[TCDeals] - [TC Property Current Stage (Seq: 1)] - [Buildings (Seq: 10)] PVC PIS Date - Send]&gt;</t>
        </r>
      </text>
    </comment>
    <comment ref="U17" authorId="0" shapeId="0" xr:uid="{00000000-0006-0000-2B00-000017000000}">
      <text>
        <r>
          <rPr>
            <b/>
            <sz val="9"/>
            <color indexed="81"/>
            <rFont val="Tahoma"/>
            <family val="2"/>
          </rPr>
          <t>&lt;[[TCDeals] - [TC Property Current Stage (Seq: 1)] - [Buildings (Seq: 11)] PVC PIS Date - Send]&gt;</t>
        </r>
      </text>
    </comment>
    <comment ref="V17" authorId="0" shapeId="0" xr:uid="{00000000-0006-0000-2B00-000018000000}">
      <text>
        <r>
          <rPr>
            <b/>
            <sz val="9"/>
            <color indexed="81"/>
            <rFont val="Tahoma"/>
            <family val="2"/>
          </rPr>
          <t>&lt;[[TCDeals] - [TC Property Current Stage (Seq: 1)] - [Buildings (Seq: 12)] PVC PIS Date - Send]&gt;</t>
        </r>
      </text>
    </comment>
    <comment ref="S20" authorId="0" shapeId="0" xr:uid="{00000000-0006-0000-2B00-000019000000}">
      <text>
        <r>
          <rPr>
            <b/>
            <sz val="9"/>
            <color indexed="81"/>
            <rFont val="Tahoma"/>
            <family val="2"/>
          </rPr>
          <t>&lt;[[TCDeals] - [TC Property Current Stage (Seq: 1)] - [Buildings (Seq: 13)] Acq PIS Date - Send]&gt;</t>
        </r>
      </text>
    </comment>
    <comment ref="T20" authorId="0" shapeId="0" xr:uid="{00000000-0006-0000-2B00-00001A000000}">
      <text>
        <r>
          <rPr>
            <b/>
            <sz val="9"/>
            <color indexed="81"/>
            <rFont val="Tahoma"/>
            <family val="2"/>
          </rPr>
          <t>&lt;[[TCDeals] - [TC Property Current Stage (Seq: 1)] - [Buildings (Seq: 14)] Acq PIS Date - Send]&gt;</t>
        </r>
      </text>
    </comment>
    <comment ref="U20" authorId="0" shapeId="0" xr:uid="{00000000-0006-0000-2B00-00001B000000}">
      <text>
        <r>
          <rPr>
            <b/>
            <sz val="9"/>
            <color indexed="81"/>
            <rFont val="Tahoma"/>
            <family val="2"/>
          </rPr>
          <t>&lt;[[TCDeals] - [TC Property Current Stage (Seq: 1)] - [Buildings (Seq: 15)] Acq PIS Date - Send]&gt;</t>
        </r>
      </text>
    </comment>
    <comment ref="S21" authorId="0" shapeId="0" xr:uid="{00000000-0006-0000-2B00-00001C000000}">
      <text>
        <r>
          <rPr>
            <b/>
            <sz val="9"/>
            <color indexed="81"/>
            <rFont val="Tahoma"/>
            <family val="2"/>
          </rPr>
          <t>&lt;[[TCDeals] - [TC Property Current Stage (Seq: 1)] - [Buildings (Seq: 13)] PVC PIS Date - Send]&gt;</t>
        </r>
      </text>
    </comment>
    <comment ref="T21" authorId="0" shapeId="0" xr:uid="{00000000-0006-0000-2B00-00001D000000}">
      <text>
        <r>
          <rPr>
            <b/>
            <sz val="9"/>
            <color indexed="81"/>
            <rFont val="Tahoma"/>
            <family val="2"/>
          </rPr>
          <t>&lt;[[TCDeals] - [TC Property Current Stage (Seq: 1)] - [Buildings (Seq: 14)] PVC PIS Date - Send]&gt;</t>
        </r>
      </text>
    </comment>
    <comment ref="U21" authorId="0" shapeId="0" xr:uid="{00000000-0006-0000-2B00-00001E000000}">
      <text>
        <r>
          <rPr>
            <b/>
            <sz val="9"/>
            <color indexed="81"/>
            <rFont val="Tahoma"/>
            <family val="2"/>
          </rPr>
          <t>&lt;[[TCDeals] - [TC Property Current Stage (Seq: 1)] - [Buildings (Seq: 15)] PVC PIS Date - Send]&gt;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LIHTCP12</author>
    <author>Michelle Wilshere</author>
  </authors>
  <commentList>
    <comment ref="AH6" authorId="0" shapeId="0" xr:uid="{00000000-0006-0000-0500-000001000000}">
      <text>
        <r>
          <rPr>
            <b/>
            <sz val="8"/>
            <color indexed="81"/>
            <rFont val="Tahoma"/>
            <family val="2"/>
          </rPr>
          <t>&lt;[[TCDeals] - [TC Property Current Stage (Seq: 1)] - [Units (Seq: 1)] TC Unit Type - Send]&gt;</t>
        </r>
      </text>
    </comment>
    <comment ref="AI6" authorId="0" shapeId="0" xr:uid="{00000000-0006-0000-0500-000002000000}">
      <text>
        <r>
          <rPr>
            <b/>
            <sz val="8"/>
            <color indexed="81"/>
            <rFont val="Tahoma"/>
            <family val="2"/>
          </rPr>
          <t>&lt;[[TCDeals] - [TC Property Current Stage (Seq: 1)] - [Units (Seq: 2)] TC Unit Type - Send]&gt;</t>
        </r>
      </text>
    </comment>
    <comment ref="AJ6" authorId="0" shapeId="0" xr:uid="{00000000-0006-0000-0500-000003000000}">
      <text>
        <r>
          <rPr>
            <b/>
            <sz val="8"/>
            <color indexed="81"/>
            <rFont val="Tahoma"/>
            <family val="2"/>
          </rPr>
          <t>&lt;[[TCDeals] - [TC Property Current Stage (Seq: 1)] - [Units (Seq: 3)] TC Unit Type - Send]&gt;</t>
        </r>
      </text>
    </comment>
    <comment ref="AK6" authorId="0" shapeId="0" xr:uid="{00000000-0006-0000-0500-000004000000}">
      <text>
        <r>
          <rPr>
            <b/>
            <sz val="8"/>
            <color indexed="81"/>
            <rFont val="Tahoma"/>
            <family val="2"/>
          </rPr>
          <t>&lt;[[TCDeals] - [TC Property Current Stage (Seq: 1)] - [Units (Seq: 4)] TC Unit Type - Send]&gt;</t>
        </r>
      </text>
    </comment>
    <comment ref="AL6" authorId="0" shapeId="0" xr:uid="{00000000-0006-0000-0500-000005000000}">
      <text>
        <r>
          <rPr>
            <b/>
            <sz val="8"/>
            <color indexed="81"/>
            <rFont val="Tahoma"/>
            <family val="2"/>
          </rPr>
          <t>&lt;[[TCDeals] - [TC Property Current Stage (Seq: 1)] - [Units (Seq: 5)] TC Unit Type - Send]&gt;</t>
        </r>
      </text>
    </comment>
    <comment ref="N7" authorId="0" shapeId="0" xr:uid="{00000000-0006-0000-0500-000006000000}">
      <text>
        <r>
          <rPr>
            <b/>
            <sz val="8"/>
            <color indexed="81"/>
            <rFont val="Tahoma"/>
            <family val="2"/>
          </rPr>
          <t>&lt;[[TCDeals] - [TC Property Current Stage (Seq: 1)] - [Unit Mix (Seq: 1)] TC Unit Mix Type - Send]&gt;</t>
        </r>
      </text>
    </comment>
    <comment ref="O7" authorId="0" shapeId="0" xr:uid="{00000000-0006-0000-0500-000007000000}">
      <text>
        <r>
          <rPr>
            <b/>
            <sz val="8"/>
            <color indexed="81"/>
            <rFont val="Tahoma"/>
            <family val="2"/>
          </rPr>
          <t>&lt;[[TCDeals] - [TC Property Current Stage (Seq: 1)] - [Unit Mix (Seq: 1)] Num Units - Send]&gt;</t>
        </r>
      </text>
    </comment>
    <comment ref="R7" authorId="0" shapeId="0" xr:uid="{00000000-0006-0000-0500-000008000000}">
      <text>
        <r>
          <rPr>
            <b/>
            <sz val="8"/>
            <color indexed="81"/>
            <rFont val="Tahoma"/>
            <family val="2"/>
          </rPr>
          <t>&lt;[[TCDeals] - [TC Property Current Stage (Seq: 1)] - [Unit Mix (Seq: 1)] Net Rentable Sq Ft - Send]&gt;</t>
        </r>
      </text>
    </comment>
    <comment ref="T7" authorId="0" shapeId="0" xr:uid="{00000000-0006-0000-0500-000009000000}">
      <text>
        <r>
          <rPr>
            <b/>
            <sz val="8"/>
            <color indexed="81"/>
            <rFont val="Tahoma"/>
            <family val="2"/>
          </rPr>
          <t>&lt;[[TCDeals] - [TC Property Current Stage (Seq: 1)] - [Unit Mix (Seq: 1)] Income Target - Send]&gt;</t>
        </r>
      </text>
    </comment>
    <comment ref="U7" authorId="0" shapeId="0" xr:uid="{00000000-0006-0000-0500-00000A000000}">
      <text>
        <r>
          <rPr>
            <b/>
            <sz val="8"/>
            <color indexed="81"/>
            <rFont val="Tahoma"/>
            <family val="2"/>
          </rPr>
          <t>&lt;[[TCDeals] - [TC Property Current Stage (Seq: 1)] - [Unit Mix (Seq: 1)] Monthly Rent Per Unit - Send]&gt;</t>
        </r>
      </text>
    </comment>
    <comment ref="N8" authorId="0" shapeId="0" xr:uid="{00000000-0006-0000-0500-00000B000000}">
      <text>
        <r>
          <rPr>
            <b/>
            <sz val="8"/>
            <color indexed="81"/>
            <rFont val="Tahoma"/>
            <family val="2"/>
          </rPr>
          <t>&lt;[[TCDeals] - [TC Property Current Stage (Seq: 1)] - [Unit Mix (Seq: 2)] TC Unit Mix Type - Send]&gt;</t>
        </r>
      </text>
    </comment>
    <comment ref="O8" authorId="0" shapeId="0" xr:uid="{00000000-0006-0000-0500-00000C000000}">
      <text>
        <r>
          <rPr>
            <b/>
            <sz val="8"/>
            <color indexed="81"/>
            <rFont val="Tahoma"/>
            <family val="2"/>
          </rPr>
          <t>&lt;[[TCDeals] - [TC Property Current Stage (Seq: 1)] - [Unit Mix (Seq: 2)] Num Units - Send]&gt;</t>
        </r>
      </text>
    </comment>
    <comment ref="R8" authorId="0" shapeId="0" xr:uid="{00000000-0006-0000-0500-00000D000000}">
      <text>
        <r>
          <rPr>
            <b/>
            <sz val="8"/>
            <color indexed="81"/>
            <rFont val="Tahoma"/>
            <family val="2"/>
          </rPr>
          <t>&lt;[[TCDeals] - [TC Property Current Stage (Seq: 1)] - [Unit Mix (Seq: 2)] Net Rentable Sq Ft - Send]&gt;</t>
        </r>
      </text>
    </comment>
    <comment ref="T8" authorId="0" shapeId="0" xr:uid="{00000000-0006-0000-0500-00000E000000}">
      <text>
        <r>
          <rPr>
            <b/>
            <sz val="8"/>
            <color indexed="81"/>
            <rFont val="Tahoma"/>
            <family val="2"/>
          </rPr>
          <t>&lt;[[TCDeals] - [TC Property Current Stage (Seq: 1)] - [Unit Mix (Seq: 2)] Income Target - Send]&gt;</t>
        </r>
      </text>
    </comment>
    <comment ref="U8" authorId="0" shapeId="0" xr:uid="{00000000-0006-0000-0500-00000F000000}">
      <text>
        <r>
          <rPr>
            <b/>
            <sz val="8"/>
            <color indexed="81"/>
            <rFont val="Tahoma"/>
            <family val="2"/>
          </rPr>
          <t>&lt;[[TCDeals] - [TC Property Current Stage (Seq: 1)] - [Unit Mix (Seq: 2)] Monthly Rent Per Unit - Send]&gt;</t>
        </r>
      </text>
    </comment>
    <comment ref="N9" authorId="0" shapeId="0" xr:uid="{00000000-0006-0000-0500-000010000000}">
      <text>
        <r>
          <rPr>
            <b/>
            <sz val="8"/>
            <color indexed="81"/>
            <rFont val="Tahoma"/>
            <family val="2"/>
          </rPr>
          <t>&lt;[[TCDeals] - [TC Property Current Stage (Seq: 1)] - [Unit Mix (Seq: 3)] TC Unit Mix Type - Send]&gt;</t>
        </r>
      </text>
    </comment>
    <comment ref="O9" authorId="0" shapeId="0" xr:uid="{00000000-0006-0000-0500-000011000000}">
      <text>
        <r>
          <rPr>
            <b/>
            <sz val="8"/>
            <color indexed="81"/>
            <rFont val="Tahoma"/>
            <family val="2"/>
          </rPr>
          <t>&lt;[[TCDeals] - [TC Property Current Stage (Seq: 1)] - [Unit Mix (Seq: 3)] Num Units - Send]&gt;</t>
        </r>
      </text>
    </comment>
    <comment ref="R9" authorId="0" shapeId="0" xr:uid="{00000000-0006-0000-0500-000012000000}">
      <text>
        <r>
          <rPr>
            <b/>
            <sz val="8"/>
            <color indexed="81"/>
            <rFont val="Tahoma"/>
            <family val="2"/>
          </rPr>
          <t>&lt;[[TCDeals] - [TC Property Current Stage (Seq: 1)] - [Unit Mix (Seq: 3)] Net Rentable Sq Ft - Send]&gt;</t>
        </r>
      </text>
    </comment>
    <comment ref="T9" authorId="0" shapeId="0" xr:uid="{00000000-0006-0000-0500-000013000000}">
      <text>
        <r>
          <rPr>
            <b/>
            <sz val="8"/>
            <color indexed="81"/>
            <rFont val="Tahoma"/>
            <family val="2"/>
          </rPr>
          <t>&lt;[[TCDeals] - [TC Property Current Stage (Seq: 1)] - [Unit Mix (Seq: 3)] Income Target - Send]&gt;</t>
        </r>
      </text>
    </comment>
    <comment ref="U9" authorId="0" shapeId="0" xr:uid="{00000000-0006-0000-0500-000014000000}">
      <text>
        <r>
          <rPr>
            <b/>
            <sz val="8"/>
            <color indexed="81"/>
            <rFont val="Tahoma"/>
            <family val="2"/>
          </rPr>
          <t>&lt;[[TCDeals] - [TC Property Current Stage (Seq: 1)] - [Unit Mix (Seq: 3)] Monthly Rent Per Unit - Send]&gt;</t>
        </r>
      </text>
    </comment>
    <comment ref="N10" authorId="0" shapeId="0" xr:uid="{00000000-0006-0000-0500-000015000000}">
      <text>
        <r>
          <rPr>
            <b/>
            <sz val="8"/>
            <color indexed="81"/>
            <rFont val="Tahoma"/>
            <family val="2"/>
          </rPr>
          <t>&lt;[[TCDeals] - [TC Property Current Stage (Seq: 1)] - [Unit Mix (Seq: 4)] TC Unit Mix Type - Send]&gt;</t>
        </r>
      </text>
    </comment>
    <comment ref="O10" authorId="0" shapeId="0" xr:uid="{00000000-0006-0000-0500-000016000000}">
      <text>
        <r>
          <rPr>
            <b/>
            <sz val="8"/>
            <color indexed="81"/>
            <rFont val="Tahoma"/>
            <family val="2"/>
          </rPr>
          <t>&lt;[[TCDeals] - [TC Property Current Stage (Seq: 1)] - [Unit Mix (Seq: 4)] Num Units - Send]&gt;</t>
        </r>
      </text>
    </comment>
    <comment ref="R10" authorId="0" shapeId="0" xr:uid="{00000000-0006-0000-0500-000017000000}">
      <text>
        <r>
          <rPr>
            <b/>
            <sz val="8"/>
            <color indexed="81"/>
            <rFont val="Tahoma"/>
            <family val="2"/>
          </rPr>
          <t>&lt;[[TCDeals] - [TC Property Current Stage (Seq: 1)] - [Unit Mix (Seq: 4)] Net Rentable Sq Ft - Send]&gt;</t>
        </r>
      </text>
    </comment>
    <comment ref="T10" authorId="0" shapeId="0" xr:uid="{00000000-0006-0000-0500-000018000000}">
      <text>
        <r>
          <rPr>
            <b/>
            <sz val="8"/>
            <color indexed="81"/>
            <rFont val="Tahoma"/>
            <family val="2"/>
          </rPr>
          <t>&lt;[[TCDeals] - [TC Property Current Stage (Seq: 1)] - [Unit Mix (Seq: 4)] Income Target - Send]&gt;</t>
        </r>
      </text>
    </comment>
    <comment ref="U10" authorId="0" shapeId="0" xr:uid="{00000000-0006-0000-0500-000019000000}">
      <text>
        <r>
          <rPr>
            <b/>
            <sz val="8"/>
            <color indexed="81"/>
            <rFont val="Tahoma"/>
            <family val="2"/>
          </rPr>
          <t>&lt;[[TCDeals] - [TC Property Current Stage (Seq: 1)] - [Unit Mix (Seq: 4)] Monthly Rent Per Unit - Send]&gt;</t>
        </r>
      </text>
    </comment>
    <comment ref="N11" authorId="0" shapeId="0" xr:uid="{00000000-0006-0000-0500-00001A000000}">
      <text>
        <r>
          <rPr>
            <b/>
            <sz val="8"/>
            <color indexed="81"/>
            <rFont val="Tahoma"/>
            <family val="2"/>
          </rPr>
          <t>&lt;[[TCDeals] - [TC Property Current Stage (Seq: 1)] - [Unit Mix (Seq: 5)] TC Unit Mix Type - Send]&gt;</t>
        </r>
      </text>
    </comment>
    <comment ref="O11" authorId="0" shapeId="0" xr:uid="{00000000-0006-0000-0500-00001B000000}">
      <text>
        <r>
          <rPr>
            <b/>
            <sz val="8"/>
            <color indexed="81"/>
            <rFont val="Tahoma"/>
            <family val="2"/>
          </rPr>
          <t>&lt;[[TCDeals] - [TC Property Current Stage (Seq: 1)] - [Unit Mix (Seq: 5)] Num Units - Send]&gt;</t>
        </r>
      </text>
    </comment>
    <comment ref="R11" authorId="0" shapeId="0" xr:uid="{00000000-0006-0000-0500-00001C000000}">
      <text>
        <r>
          <rPr>
            <b/>
            <sz val="8"/>
            <color indexed="81"/>
            <rFont val="Tahoma"/>
            <family val="2"/>
          </rPr>
          <t>&lt;[[TCDeals] - [TC Property Current Stage (Seq: 1)] - [Unit Mix (Seq: 5)] Net Rentable Sq Ft - Send]&gt;</t>
        </r>
      </text>
    </comment>
    <comment ref="T11" authorId="0" shapeId="0" xr:uid="{00000000-0006-0000-0500-00001D000000}">
      <text>
        <r>
          <rPr>
            <b/>
            <sz val="8"/>
            <color indexed="81"/>
            <rFont val="Tahoma"/>
            <family val="2"/>
          </rPr>
          <t>&lt;[[TCDeals] - [TC Property Current Stage (Seq: 1)] - [Unit Mix (Seq: 5)] Income Target - Send]&gt;</t>
        </r>
      </text>
    </comment>
    <comment ref="U11" authorId="0" shapeId="0" xr:uid="{00000000-0006-0000-0500-00001E000000}">
      <text>
        <r>
          <rPr>
            <b/>
            <sz val="8"/>
            <color indexed="81"/>
            <rFont val="Tahoma"/>
            <family val="2"/>
          </rPr>
          <t>&lt;[[TCDeals] - [TC Property Current Stage (Seq: 1)] - [Unit Mix (Seq: 5)] Monthly Rent Per Unit - Send]&gt;</t>
        </r>
      </text>
    </comment>
    <comment ref="N12" authorId="0" shapeId="0" xr:uid="{00000000-0006-0000-0500-00001F000000}">
      <text>
        <r>
          <rPr>
            <b/>
            <sz val="8"/>
            <color indexed="81"/>
            <rFont val="Tahoma"/>
            <family val="2"/>
          </rPr>
          <t>&lt;[[TCDeals] - [TC Property Current Stage (Seq: 1)] - [Unit Mix (Seq: 6)] TC Unit Mix Type - Send]&gt;</t>
        </r>
      </text>
    </comment>
    <comment ref="O12" authorId="0" shapeId="0" xr:uid="{00000000-0006-0000-0500-000020000000}">
      <text>
        <r>
          <rPr>
            <b/>
            <sz val="8"/>
            <color indexed="81"/>
            <rFont val="Tahoma"/>
            <family val="2"/>
          </rPr>
          <t>&lt;[[TCDeals] - [TC Property Current Stage (Seq: 1)] - [Unit Mix (Seq: 6)] Num Units - Send]&gt;</t>
        </r>
      </text>
    </comment>
    <comment ref="R12" authorId="0" shapeId="0" xr:uid="{00000000-0006-0000-0500-000021000000}">
      <text>
        <r>
          <rPr>
            <b/>
            <sz val="8"/>
            <color indexed="81"/>
            <rFont val="Tahoma"/>
            <family val="2"/>
          </rPr>
          <t>&lt;[[TCDeals] - [TC Property Current Stage (Seq: 1)] - [Unit Mix (Seq: 6)] Net Rentable Sq Ft - Send]&gt;</t>
        </r>
      </text>
    </comment>
    <comment ref="T12" authorId="0" shapeId="0" xr:uid="{00000000-0006-0000-0500-000022000000}">
      <text>
        <r>
          <rPr>
            <b/>
            <sz val="8"/>
            <color indexed="81"/>
            <rFont val="Tahoma"/>
            <family val="2"/>
          </rPr>
          <t>&lt;[[TCDeals] - [TC Property Current Stage (Seq: 1)] - [Unit Mix (Seq: 6)] Income Target - Send]&gt;</t>
        </r>
      </text>
    </comment>
    <comment ref="U12" authorId="0" shapeId="0" xr:uid="{00000000-0006-0000-0500-000023000000}">
      <text>
        <r>
          <rPr>
            <b/>
            <sz val="8"/>
            <color indexed="81"/>
            <rFont val="Tahoma"/>
            <family val="2"/>
          </rPr>
          <t>&lt;[[TCDeals] - [TC Property Current Stage (Seq: 1)] - [Unit Mix (Seq: 6)] Monthly Rent Per Unit - Send]&gt;</t>
        </r>
      </text>
    </comment>
    <comment ref="N13" authorId="0" shapeId="0" xr:uid="{00000000-0006-0000-0500-000024000000}">
      <text>
        <r>
          <rPr>
            <b/>
            <sz val="8"/>
            <color indexed="81"/>
            <rFont val="Tahoma"/>
            <family val="2"/>
          </rPr>
          <t>&lt;[[TCDeals] - [TC Property Current Stage (Seq: 1)] - [Unit Mix (Seq: 7)] TC Unit Mix Type - Send]&gt;</t>
        </r>
      </text>
    </comment>
    <comment ref="O13" authorId="0" shapeId="0" xr:uid="{00000000-0006-0000-0500-000025000000}">
      <text>
        <r>
          <rPr>
            <b/>
            <sz val="8"/>
            <color indexed="81"/>
            <rFont val="Tahoma"/>
            <family val="2"/>
          </rPr>
          <t>&lt;[[TCDeals] - [TC Property Current Stage (Seq: 1)] - [Unit Mix (Seq: 7)] Num Units - Send]&gt;</t>
        </r>
      </text>
    </comment>
    <comment ref="R13" authorId="0" shapeId="0" xr:uid="{00000000-0006-0000-0500-000026000000}">
      <text>
        <r>
          <rPr>
            <b/>
            <sz val="8"/>
            <color indexed="81"/>
            <rFont val="Tahoma"/>
            <family val="2"/>
          </rPr>
          <t>&lt;[[TCDeals] - [TC Property Current Stage (Seq: 1)] - [Unit Mix (Seq: 7)] Net Rentable Sq Ft - Send]&gt;</t>
        </r>
      </text>
    </comment>
    <comment ref="T13" authorId="0" shapeId="0" xr:uid="{00000000-0006-0000-0500-000027000000}">
      <text>
        <r>
          <rPr>
            <b/>
            <sz val="8"/>
            <color indexed="81"/>
            <rFont val="Tahoma"/>
            <family val="2"/>
          </rPr>
          <t>&lt;[[TCDeals] - [TC Property Current Stage (Seq: 1)] - [Unit Mix (Seq: 7)] Income Target - Send]&gt;</t>
        </r>
      </text>
    </comment>
    <comment ref="U13" authorId="0" shapeId="0" xr:uid="{00000000-0006-0000-0500-000028000000}">
      <text>
        <r>
          <rPr>
            <b/>
            <sz val="8"/>
            <color indexed="81"/>
            <rFont val="Tahoma"/>
            <family val="2"/>
          </rPr>
          <t>&lt;[[TCDeals] - [TC Property Current Stage (Seq: 1)] - [Unit Mix (Seq: 7)] Monthly Rent Per Unit - Send]&gt;</t>
        </r>
      </text>
    </comment>
    <comment ref="N14" authorId="0" shapeId="0" xr:uid="{00000000-0006-0000-0500-000029000000}">
      <text>
        <r>
          <rPr>
            <b/>
            <sz val="8"/>
            <color indexed="81"/>
            <rFont val="Tahoma"/>
            <family val="2"/>
          </rPr>
          <t>&lt;[[TCDeals] - [TC Property Current Stage (Seq: 1)] - [Unit Mix (Seq: 8)] TC Unit Mix Type - Send]&gt;</t>
        </r>
      </text>
    </comment>
    <comment ref="O14" authorId="0" shapeId="0" xr:uid="{00000000-0006-0000-0500-00002A000000}">
      <text>
        <r>
          <rPr>
            <b/>
            <sz val="8"/>
            <color indexed="81"/>
            <rFont val="Tahoma"/>
            <family val="2"/>
          </rPr>
          <t>&lt;[[TCDeals] - [TC Property Current Stage (Seq: 1)] - [Unit Mix (Seq: 8)] Num Units - Send]&gt;</t>
        </r>
      </text>
    </comment>
    <comment ref="R14" authorId="0" shapeId="0" xr:uid="{00000000-0006-0000-0500-00002B000000}">
      <text>
        <r>
          <rPr>
            <b/>
            <sz val="8"/>
            <color indexed="81"/>
            <rFont val="Tahoma"/>
            <family val="2"/>
          </rPr>
          <t>&lt;[[TCDeals] - [TC Property Current Stage (Seq: 1)] - [Unit Mix (Seq: 8)] Net Rentable Sq Ft - Send]&gt;</t>
        </r>
      </text>
    </comment>
    <comment ref="T14" authorId="0" shapeId="0" xr:uid="{00000000-0006-0000-0500-00002C000000}">
      <text>
        <r>
          <rPr>
            <b/>
            <sz val="8"/>
            <color indexed="81"/>
            <rFont val="Tahoma"/>
            <family val="2"/>
          </rPr>
          <t>&lt;[[TCDeals] - [TC Property Current Stage (Seq: 1)] - [Unit Mix (Seq: 8)] Income Target - Send]&gt;</t>
        </r>
      </text>
    </comment>
    <comment ref="U14" authorId="0" shapeId="0" xr:uid="{00000000-0006-0000-0500-00002D000000}">
      <text>
        <r>
          <rPr>
            <b/>
            <sz val="8"/>
            <color indexed="81"/>
            <rFont val="Tahoma"/>
            <family val="2"/>
          </rPr>
          <t>&lt;[[TCDeals] - [TC Property Current Stage (Seq: 1)] - [Unit Mix (Seq: 8)] Monthly Rent Per Unit - Send]&gt;</t>
        </r>
      </text>
    </comment>
    <comment ref="N15" authorId="0" shapeId="0" xr:uid="{00000000-0006-0000-0500-00002E000000}">
      <text>
        <r>
          <rPr>
            <b/>
            <sz val="8"/>
            <color indexed="81"/>
            <rFont val="Tahoma"/>
            <family val="2"/>
          </rPr>
          <t>&lt;[[TCDeals] - [TC Property Current Stage (Seq: 1)] - [Unit Mix (Seq: 9)] TC Unit Mix Type - Send]&gt;</t>
        </r>
      </text>
    </comment>
    <comment ref="O15" authorId="0" shapeId="0" xr:uid="{00000000-0006-0000-0500-00002F000000}">
      <text>
        <r>
          <rPr>
            <b/>
            <sz val="8"/>
            <color indexed="81"/>
            <rFont val="Tahoma"/>
            <family val="2"/>
          </rPr>
          <t>&lt;[[TCDeals] - [TC Property Current Stage (Seq: 1)] - [Unit Mix (Seq: 9)] Num Units - Send]&gt;</t>
        </r>
      </text>
    </comment>
    <comment ref="R15" authorId="0" shapeId="0" xr:uid="{00000000-0006-0000-0500-000030000000}">
      <text>
        <r>
          <rPr>
            <b/>
            <sz val="8"/>
            <color indexed="81"/>
            <rFont val="Tahoma"/>
            <family val="2"/>
          </rPr>
          <t>&lt;[[TCDeals] - [TC Property Current Stage (Seq: 1)] - [Unit Mix (Seq: 9)] Net Rentable Sq Ft - Send]&gt;</t>
        </r>
      </text>
    </comment>
    <comment ref="T15" authorId="0" shapeId="0" xr:uid="{00000000-0006-0000-0500-000031000000}">
      <text>
        <r>
          <rPr>
            <b/>
            <sz val="8"/>
            <color indexed="81"/>
            <rFont val="Tahoma"/>
            <family val="2"/>
          </rPr>
          <t>&lt;[[TCDeals] - [TC Property Current Stage (Seq: 1)] - [Unit Mix (Seq: 9)] Income Target - Send]&gt;</t>
        </r>
      </text>
    </comment>
    <comment ref="U15" authorId="0" shapeId="0" xr:uid="{00000000-0006-0000-0500-000032000000}">
      <text>
        <r>
          <rPr>
            <b/>
            <sz val="8"/>
            <color indexed="81"/>
            <rFont val="Tahoma"/>
            <family val="2"/>
          </rPr>
          <t>&lt;[[TCDeals] - [TC Property Current Stage (Seq: 1)] - [Unit Mix (Seq: 9)] Monthly Rent Per Unit - Send]&gt;</t>
        </r>
      </text>
    </comment>
    <comment ref="N16" authorId="0" shapeId="0" xr:uid="{00000000-0006-0000-0500-000033000000}">
      <text>
        <r>
          <rPr>
            <b/>
            <sz val="8"/>
            <color indexed="81"/>
            <rFont val="Tahoma"/>
            <family val="2"/>
          </rPr>
          <t>&lt;[[TCDeals] - [TC Property Current Stage (Seq: 1)] - [Unit Mix (Seq: 10)] TC Unit Mix Type - Send]&gt;</t>
        </r>
      </text>
    </comment>
    <comment ref="O16" authorId="0" shapeId="0" xr:uid="{00000000-0006-0000-0500-000034000000}">
      <text>
        <r>
          <rPr>
            <b/>
            <sz val="8"/>
            <color indexed="81"/>
            <rFont val="Tahoma"/>
            <family val="2"/>
          </rPr>
          <t>&lt;[[TCDeals] - [TC Property Current Stage (Seq: 1)] - [Unit Mix (Seq: 10)] Num Units - Send]&gt;</t>
        </r>
      </text>
    </comment>
    <comment ref="R16" authorId="0" shapeId="0" xr:uid="{00000000-0006-0000-0500-000035000000}">
      <text>
        <r>
          <rPr>
            <b/>
            <sz val="8"/>
            <color indexed="81"/>
            <rFont val="Tahoma"/>
            <family val="2"/>
          </rPr>
          <t>&lt;[[TCDeals] - [TC Property Current Stage (Seq: 1)] - [Unit Mix (Seq: 10)] Net Rentable Sq Ft - Send]&gt;</t>
        </r>
      </text>
    </comment>
    <comment ref="T16" authorId="0" shapeId="0" xr:uid="{00000000-0006-0000-0500-000036000000}">
      <text>
        <r>
          <rPr>
            <b/>
            <sz val="8"/>
            <color indexed="81"/>
            <rFont val="Tahoma"/>
            <family val="2"/>
          </rPr>
          <t>&lt;[[TCDeals] - [TC Property Current Stage (Seq: 1)] - [Unit Mix (Seq: 10)] Income Target - Send]&gt;</t>
        </r>
      </text>
    </comment>
    <comment ref="U16" authorId="0" shapeId="0" xr:uid="{00000000-0006-0000-0500-000037000000}">
      <text>
        <r>
          <rPr>
            <b/>
            <sz val="8"/>
            <color indexed="81"/>
            <rFont val="Tahoma"/>
            <family val="2"/>
          </rPr>
          <t>&lt;[[TCDeals] - [TC Property Current Stage (Seq: 1)] - [Unit Mix (Seq: 10)] Monthly Rent Per Unit - Send]&gt;</t>
        </r>
      </text>
    </comment>
    <comment ref="N17" authorId="0" shapeId="0" xr:uid="{00000000-0006-0000-0500-000038000000}">
      <text>
        <r>
          <rPr>
            <b/>
            <sz val="8"/>
            <color indexed="81"/>
            <rFont val="Tahoma"/>
            <family val="2"/>
          </rPr>
          <t>&lt;[[TCDeals] - [TC Property Current Stage (Seq: 1)] - [Unit Mix (Seq: 11)] TC Unit Mix Type - Send]&gt;</t>
        </r>
      </text>
    </comment>
    <comment ref="O17" authorId="0" shapeId="0" xr:uid="{00000000-0006-0000-0500-000039000000}">
      <text>
        <r>
          <rPr>
            <b/>
            <sz val="8"/>
            <color indexed="81"/>
            <rFont val="Tahoma"/>
            <family val="2"/>
          </rPr>
          <t>&lt;[[TCDeals] - [TC Property Current Stage (Seq: 1)] - [Unit Mix (Seq: 11)] Num Units - Send]&gt;</t>
        </r>
      </text>
    </comment>
    <comment ref="R17" authorId="0" shapeId="0" xr:uid="{00000000-0006-0000-0500-00003A000000}">
      <text>
        <r>
          <rPr>
            <b/>
            <sz val="8"/>
            <color indexed="81"/>
            <rFont val="Tahoma"/>
            <family val="2"/>
          </rPr>
          <t>&lt;[[TCDeals] - [TC Property Current Stage (Seq: 1)] - [Unit Mix (Seq: 11)] Net Rentable Sq Ft - Send]&gt;</t>
        </r>
      </text>
    </comment>
    <comment ref="T17" authorId="0" shapeId="0" xr:uid="{00000000-0006-0000-0500-00003B000000}">
      <text>
        <r>
          <rPr>
            <b/>
            <sz val="8"/>
            <color indexed="81"/>
            <rFont val="Tahoma"/>
            <family val="2"/>
          </rPr>
          <t>&lt;[[TCDeals] - [TC Property Current Stage (Seq: 1)] - [Unit Mix (Seq: 11)] Income Target - Send]&gt;</t>
        </r>
      </text>
    </comment>
    <comment ref="U17" authorId="0" shapeId="0" xr:uid="{00000000-0006-0000-0500-00003C000000}">
      <text>
        <r>
          <rPr>
            <b/>
            <sz val="8"/>
            <color indexed="81"/>
            <rFont val="Tahoma"/>
            <family val="2"/>
          </rPr>
          <t>&lt;[[TCDeals] - [TC Property Current Stage (Seq: 1)] - [Unit Mix (Seq: 11)] Monthly Rent Per Unit - Send]&gt;</t>
        </r>
      </text>
    </comment>
    <comment ref="N18" authorId="0" shapeId="0" xr:uid="{00000000-0006-0000-0500-00003D000000}">
      <text>
        <r>
          <rPr>
            <b/>
            <sz val="8"/>
            <color indexed="81"/>
            <rFont val="Tahoma"/>
            <family val="2"/>
          </rPr>
          <t>&lt;[[TCDeals] - [TC Property Current Stage (Seq: 1)] - [Unit Mix (Seq: 12)] TC Unit Mix Type - Send]&gt;</t>
        </r>
      </text>
    </comment>
    <comment ref="O18" authorId="0" shapeId="0" xr:uid="{00000000-0006-0000-0500-00003E000000}">
      <text>
        <r>
          <rPr>
            <b/>
            <sz val="8"/>
            <color indexed="81"/>
            <rFont val="Tahoma"/>
            <family val="2"/>
          </rPr>
          <t>&lt;[[TCDeals] - [TC Property Current Stage (Seq: 1)] - [Unit Mix (Seq: 12)] Num Units - Send]&gt;</t>
        </r>
      </text>
    </comment>
    <comment ref="R18" authorId="0" shapeId="0" xr:uid="{00000000-0006-0000-0500-00003F000000}">
      <text>
        <r>
          <rPr>
            <b/>
            <sz val="8"/>
            <color indexed="81"/>
            <rFont val="Tahoma"/>
            <family val="2"/>
          </rPr>
          <t>&lt;[[TCDeals] - [TC Property Current Stage (Seq: 1)] - [Unit Mix (Seq: 12)] Net Rentable Sq Ft - Send]&gt;</t>
        </r>
      </text>
    </comment>
    <comment ref="T18" authorId="0" shapeId="0" xr:uid="{00000000-0006-0000-0500-000040000000}">
      <text>
        <r>
          <rPr>
            <b/>
            <sz val="8"/>
            <color indexed="81"/>
            <rFont val="Tahoma"/>
            <family val="2"/>
          </rPr>
          <t>&lt;[[TCDeals] - [TC Property Current Stage (Seq: 1)] - [Unit Mix (Seq: 12)] Income Target - Send]&gt;</t>
        </r>
      </text>
    </comment>
    <comment ref="U18" authorId="0" shapeId="0" xr:uid="{00000000-0006-0000-0500-000041000000}">
      <text>
        <r>
          <rPr>
            <b/>
            <sz val="8"/>
            <color indexed="81"/>
            <rFont val="Tahoma"/>
            <family val="2"/>
          </rPr>
          <t>&lt;[[TCDeals] - [TC Property Current Stage (Seq: 1)] - [Unit Mix (Seq: 12)] Monthly Rent Per Unit - Send]&gt;</t>
        </r>
      </text>
    </comment>
    <comment ref="N19" authorId="0" shapeId="0" xr:uid="{00000000-0006-0000-0500-000042000000}">
      <text>
        <r>
          <rPr>
            <b/>
            <sz val="8"/>
            <color indexed="81"/>
            <rFont val="Tahoma"/>
            <family val="2"/>
          </rPr>
          <t>&lt;[[TCDeals] - [TC Property Current Stage (Seq: 1)] - [Unit Mix (Seq: 13)] TC Unit Mix Type - Send]&gt;</t>
        </r>
      </text>
    </comment>
    <comment ref="O19" authorId="0" shapeId="0" xr:uid="{00000000-0006-0000-0500-000043000000}">
      <text>
        <r>
          <rPr>
            <b/>
            <sz val="8"/>
            <color indexed="81"/>
            <rFont val="Tahoma"/>
            <family val="2"/>
          </rPr>
          <t>&lt;[[TCDeals] - [TC Property Current Stage (Seq: 1)] - [Unit Mix (Seq: 13)] Num Units - Send]&gt;</t>
        </r>
      </text>
    </comment>
    <comment ref="R19" authorId="0" shapeId="0" xr:uid="{00000000-0006-0000-0500-000044000000}">
      <text>
        <r>
          <rPr>
            <b/>
            <sz val="8"/>
            <color indexed="81"/>
            <rFont val="Tahoma"/>
            <family val="2"/>
          </rPr>
          <t>&lt;[[TCDeals] - [TC Property Current Stage (Seq: 1)] - [Unit Mix (Seq: 13)] Net Rentable Sq Ft - Send]&gt;</t>
        </r>
      </text>
    </comment>
    <comment ref="T19" authorId="0" shapeId="0" xr:uid="{00000000-0006-0000-0500-000045000000}">
      <text>
        <r>
          <rPr>
            <b/>
            <sz val="8"/>
            <color indexed="81"/>
            <rFont val="Tahoma"/>
            <family val="2"/>
          </rPr>
          <t>&lt;[[TCDeals] - [TC Property Current Stage (Seq: 1)] - [Unit Mix (Seq: 13)] Income Target - Send]&gt;</t>
        </r>
      </text>
    </comment>
    <comment ref="U19" authorId="0" shapeId="0" xr:uid="{00000000-0006-0000-0500-000046000000}">
      <text>
        <r>
          <rPr>
            <b/>
            <sz val="8"/>
            <color indexed="81"/>
            <rFont val="Tahoma"/>
            <family val="2"/>
          </rPr>
          <t>&lt;[[TCDeals] - [TC Property Current Stage (Seq: 1)] - [Unit Mix (Seq: 13)] Monthly Rent Per Unit - Send]&gt;</t>
        </r>
      </text>
    </comment>
    <comment ref="N20" authorId="0" shapeId="0" xr:uid="{00000000-0006-0000-0500-000047000000}">
      <text>
        <r>
          <rPr>
            <b/>
            <sz val="8"/>
            <color indexed="81"/>
            <rFont val="Tahoma"/>
            <family val="2"/>
          </rPr>
          <t>&lt;[[TCDeals] - [TC Property Current Stage (Seq: 1)] - [Unit Mix (Seq: 14)] TC Unit Mix Type - Send]&gt;</t>
        </r>
      </text>
    </comment>
    <comment ref="O20" authorId="0" shapeId="0" xr:uid="{00000000-0006-0000-0500-000048000000}">
      <text>
        <r>
          <rPr>
            <b/>
            <sz val="8"/>
            <color indexed="81"/>
            <rFont val="Tahoma"/>
            <family val="2"/>
          </rPr>
          <t>&lt;[[TCDeals] - [TC Property Current Stage (Seq: 1)] - [Unit Mix (Seq: 14)] Num Units - Send]&gt;</t>
        </r>
      </text>
    </comment>
    <comment ref="R20" authorId="0" shapeId="0" xr:uid="{00000000-0006-0000-0500-000049000000}">
      <text>
        <r>
          <rPr>
            <b/>
            <sz val="8"/>
            <color indexed="81"/>
            <rFont val="Tahoma"/>
            <family val="2"/>
          </rPr>
          <t>&lt;[[TCDeals] - [TC Property Current Stage (Seq: 1)] - [Unit Mix (Seq: 14)] Net Rentable Sq Ft - Send]&gt;</t>
        </r>
      </text>
    </comment>
    <comment ref="T20" authorId="0" shapeId="0" xr:uid="{00000000-0006-0000-0500-00004A000000}">
      <text>
        <r>
          <rPr>
            <b/>
            <sz val="8"/>
            <color indexed="81"/>
            <rFont val="Tahoma"/>
            <family val="2"/>
          </rPr>
          <t>&lt;[[TCDeals] - [TC Property Current Stage (Seq: 1)] - [Unit Mix (Seq: 14)] Income Target - Send]&gt;</t>
        </r>
      </text>
    </comment>
    <comment ref="U20" authorId="0" shapeId="0" xr:uid="{00000000-0006-0000-0500-00004B000000}">
      <text>
        <r>
          <rPr>
            <b/>
            <sz val="8"/>
            <color indexed="81"/>
            <rFont val="Tahoma"/>
            <family val="2"/>
          </rPr>
          <t>&lt;[[TCDeals] - [TC Property Current Stage (Seq: 1)] - [Unit Mix (Seq: 14)] Monthly Rent Per Unit - Send]&gt;</t>
        </r>
      </text>
    </comment>
    <comment ref="N21" authorId="0" shapeId="0" xr:uid="{00000000-0006-0000-0500-00004C000000}">
      <text>
        <r>
          <rPr>
            <b/>
            <sz val="8"/>
            <color indexed="81"/>
            <rFont val="Tahoma"/>
            <family val="2"/>
          </rPr>
          <t>&lt;[[TCDeals] - [TC Property Current Stage (Seq: 1)] - [Unit Mix (Seq: 15)] TC Unit Mix Type - Send]&gt;</t>
        </r>
      </text>
    </comment>
    <comment ref="O21" authorId="0" shapeId="0" xr:uid="{00000000-0006-0000-0500-00004D000000}">
      <text>
        <r>
          <rPr>
            <b/>
            <sz val="8"/>
            <color indexed="81"/>
            <rFont val="Tahoma"/>
            <family val="2"/>
          </rPr>
          <t>&lt;[[TCDeals] - [TC Property Current Stage (Seq: 1)] - [Unit Mix (Seq: 15)] Num Units - Send]&gt;</t>
        </r>
      </text>
    </comment>
    <comment ref="R21" authorId="0" shapeId="0" xr:uid="{00000000-0006-0000-0500-00004E000000}">
      <text>
        <r>
          <rPr>
            <b/>
            <sz val="8"/>
            <color indexed="81"/>
            <rFont val="Tahoma"/>
            <family val="2"/>
          </rPr>
          <t>&lt;[[TCDeals] - [TC Property Current Stage (Seq: 1)] - [Unit Mix (Seq: 15)] Net Rentable Sq Ft - Send]&gt;</t>
        </r>
      </text>
    </comment>
    <comment ref="T21" authorId="0" shapeId="0" xr:uid="{00000000-0006-0000-0500-00004F000000}">
      <text>
        <r>
          <rPr>
            <b/>
            <sz val="8"/>
            <color indexed="81"/>
            <rFont val="Tahoma"/>
            <family val="2"/>
          </rPr>
          <t>&lt;[[TCDeals] - [TC Property Current Stage (Seq: 1)] - [Unit Mix (Seq: 15)] Income Target - Send]&gt;</t>
        </r>
      </text>
    </comment>
    <comment ref="U21" authorId="0" shapeId="0" xr:uid="{00000000-0006-0000-0500-000050000000}">
      <text>
        <r>
          <rPr>
            <b/>
            <sz val="8"/>
            <color indexed="81"/>
            <rFont val="Tahoma"/>
            <family val="2"/>
          </rPr>
          <t>&lt;[[TCDeals] - [TC Property Current Stage (Seq: 1)] - [Unit Mix (Seq: 15)] Monthly Rent Per Unit - Send]&gt;</t>
        </r>
      </text>
    </comment>
    <comment ref="N22" authorId="0" shapeId="0" xr:uid="{00000000-0006-0000-0500-000051000000}">
      <text>
        <r>
          <rPr>
            <b/>
            <sz val="8"/>
            <color indexed="81"/>
            <rFont val="Tahoma"/>
            <family val="2"/>
          </rPr>
          <t>&lt;[[TCDeals] - [TC Property Current Stage (Seq: 1)] - [Unit Mix (Seq: 16)] TC Unit Mix Type - Send]&gt;</t>
        </r>
      </text>
    </comment>
    <comment ref="O22" authorId="0" shapeId="0" xr:uid="{00000000-0006-0000-0500-000052000000}">
      <text>
        <r>
          <rPr>
            <b/>
            <sz val="8"/>
            <color indexed="81"/>
            <rFont val="Tahoma"/>
            <family val="2"/>
          </rPr>
          <t>&lt;[[TCDeals] - [TC Property Current Stage (Seq: 1)] - [Unit Mix (Seq: 16)] Num Units - Send]&gt;</t>
        </r>
      </text>
    </comment>
    <comment ref="R22" authorId="0" shapeId="0" xr:uid="{00000000-0006-0000-0500-000053000000}">
      <text>
        <r>
          <rPr>
            <b/>
            <sz val="8"/>
            <color indexed="81"/>
            <rFont val="Tahoma"/>
            <family val="2"/>
          </rPr>
          <t>&lt;[[TCDeals] - [TC Property Current Stage (Seq: 1)] - [Unit Mix (Seq: 16)] Net Rentable Sq Ft - Send]&gt;</t>
        </r>
      </text>
    </comment>
    <comment ref="T22" authorId="0" shapeId="0" xr:uid="{00000000-0006-0000-0500-000054000000}">
      <text>
        <r>
          <rPr>
            <b/>
            <sz val="8"/>
            <color indexed="81"/>
            <rFont val="Tahoma"/>
            <family val="2"/>
          </rPr>
          <t>&lt;[[TCDeals] - [TC Property Current Stage (Seq: 1)] - [Unit Mix (Seq: 16)] Income Target - Send]&gt;</t>
        </r>
      </text>
    </comment>
    <comment ref="U22" authorId="0" shapeId="0" xr:uid="{00000000-0006-0000-0500-000055000000}">
      <text>
        <r>
          <rPr>
            <b/>
            <sz val="8"/>
            <color indexed="81"/>
            <rFont val="Tahoma"/>
            <family val="2"/>
          </rPr>
          <t>&lt;[[TCDeals] - [TC Property Current Stage (Seq: 1)] - [Unit Mix (Seq: 16)] Monthly Rent Per Unit - Send]&gt;</t>
        </r>
      </text>
    </comment>
    <comment ref="N23" authorId="0" shapeId="0" xr:uid="{00000000-0006-0000-0500-000056000000}">
      <text>
        <r>
          <rPr>
            <b/>
            <sz val="8"/>
            <color indexed="81"/>
            <rFont val="Tahoma"/>
            <family val="2"/>
          </rPr>
          <t>&lt;[[TCDeals] - [TC Property Current Stage (Seq: 1)] - [Unit Mix (Seq: 17)] TC Unit Mix Type - Send]&gt;</t>
        </r>
      </text>
    </comment>
    <comment ref="O23" authorId="0" shapeId="0" xr:uid="{00000000-0006-0000-0500-000057000000}">
      <text>
        <r>
          <rPr>
            <b/>
            <sz val="8"/>
            <color indexed="81"/>
            <rFont val="Tahoma"/>
            <family val="2"/>
          </rPr>
          <t>&lt;[[TCDeals] - [TC Property Current Stage (Seq: 1)] - [Unit Mix (Seq: 17)] Num Units - Send]&gt;</t>
        </r>
      </text>
    </comment>
    <comment ref="R23" authorId="0" shapeId="0" xr:uid="{00000000-0006-0000-0500-000058000000}">
      <text>
        <r>
          <rPr>
            <b/>
            <sz val="8"/>
            <color indexed="81"/>
            <rFont val="Tahoma"/>
            <family val="2"/>
          </rPr>
          <t>&lt;[[TCDeals] - [TC Property Current Stage (Seq: 1)] - [Unit Mix (Seq: 17)] Net Rentable Sq Ft - Send]&gt;</t>
        </r>
      </text>
    </comment>
    <comment ref="T23" authorId="0" shapeId="0" xr:uid="{00000000-0006-0000-0500-000059000000}">
      <text>
        <r>
          <rPr>
            <b/>
            <sz val="8"/>
            <color indexed="81"/>
            <rFont val="Tahoma"/>
            <family val="2"/>
          </rPr>
          <t>&lt;[[TCDeals] - [TC Property Current Stage (Seq: 1)] - [Unit Mix (Seq: 17)] Income Target - Send]&gt;</t>
        </r>
      </text>
    </comment>
    <comment ref="U23" authorId="0" shapeId="0" xr:uid="{00000000-0006-0000-0500-00005A000000}">
      <text>
        <r>
          <rPr>
            <b/>
            <sz val="8"/>
            <color indexed="81"/>
            <rFont val="Tahoma"/>
            <family val="2"/>
          </rPr>
          <t>&lt;[[TCDeals] - [TC Property Current Stage (Seq: 1)] - [Unit Mix (Seq: 17)] Monthly Rent Per Unit - Send]&gt;</t>
        </r>
      </text>
    </comment>
    <comment ref="N24" authorId="0" shapeId="0" xr:uid="{00000000-0006-0000-0500-00005B000000}">
      <text>
        <r>
          <rPr>
            <b/>
            <sz val="8"/>
            <color indexed="81"/>
            <rFont val="Tahoma"/>
            <family val="2"/>
          </rPr>
          <t>&lt;[[TCDeals] - [TC Property Current Stage (Seq: 1)] - [Unit Mix (Seq: 18)] TC Unit Mix Type - Send]&gt;</t>
        </r>
      </text>
    </comment>
    <comment ref="O24" authorId="0" shapeId="0" xr:uid="{00000000-0006-0000-0500-00005C000000}">
      <text>
        <r>
          <rPr>
            <b/>
            <sz val="8"/>
            <color indexed="81"/>
            <rFont val="Tahoma"/>
            <family val="2"/>
          </rPr>
          <t>&lt;[[TCDeals] - [TC Property Current Stage (Seq: 1)] - [Unit Mix (Seq: 18)] Num Units - Send]&gt;</t>
        </r>
      </text>
    </comment>
    <comment ref="R24" authorId="0" shapeId="0" xr:uid="{00000000-0006-0000-0500-00005D000000}">
      <text>
        <r>
          <rPr>
            <b/>
            <sz val="8"/>
            <color indexed="81"/>
            <rFont val="Tahoma"/>
            <family val="2"/>
          </rPr>
          <t>&lt;[[TCDeals] - [TC Property Current Stage (Seq: 1)] - [Unit Mix (Seq: 18)] Net Rentable Sq Ft - Send]&gt;</t>
        </r>
      </text>
    </comment>
    <comment ref="T24" authorId="0" shapeId="0" xr:uid="{00000000-0006-0000-0500-00005E000000}">
      <text>
        <r>
          <rPr>
            <b/>
            <sz val="8"/>
            <color indexed="81"/>
            <rFont val="Tahoma"/>
            <family val="2"/>
          </rPr>
          <t>&lt;[[TCDeals] - [TC Property Current Stage (Seq: 1)] - [Unit Mix (Seq: 18)] Income Target - Send]&gt;</t>
        </r>
      </text>
    </comment>
    <comment ref="U24" authorId="0" shapeId="0" xr:uid="{00000000-0006-0000-0500-00005F000000}">
      <text>
        <r>
          <rPr>
            <b/>
            <sz val="8"/>
            <color indexed="81"/>
            <rFont val="Tahoma"/>
            <family val="2"/>
          </rPr>
          <t>&lt;[[TCDeals] - [TC Property Current Stage (Seq: 1)] - [Unit Mix (Seq: 18)] Monthly Rent Per Unit - Send]&gt;</t>
        </r>
      </text>
    </comment>
    <comment ref="N25" authorId="0" shapeId="0" xr:uid="{00000000-0006-0000-0500-000060000000}">
      <text>
        <r>
          <rPr>
            <b/>
            <sz val="8"/>
            <color indexed="81"/>
            <rFont val="Tahoma"/>
            <family val="2"/>
          </rPr>
          <t>&lt;[[TCDeals] - [TC Property Current Stage (Seq: 1)] - [Unit Mix (Seq: 19)] TC Unit Mix Type - Send]&gt;</t>
        </r>
      </text>
    </comment>
    <comment ref="O25" authorId="0" shapeId="0" xr:uid="{00000000-0006-0000-0500-000061000000}">
      <text>
        <r>
          <rPr>
            <b/>
            <sz val="8"/>
            <color indexed="81"/>
            <rFont val="Tahoma"/>
            <family val="2"/>
          </rPr>
          <t>&lt;[[TCDeals] - [TC Property Current Stage (Seq: 1)] - [Unit Mix (Seq: 19)] Num Units - Send]&gt;</t>
        </r>
      </text>
    </comment>
    <comment ref="R25" authorId="0" shapeId="0" xr:uid="{00000000-0006-0000-0500-000062000000}">
      <text>
        <r>
          <rPr>
            <b/>
            <sz val="8"/>
            <color indexed="81"/>
            <rFont val="Tahoma"/>
            <family val="2"/>
          </rPr>
          <t>&lt;[[TCDeals] - [TC Property Current Stage (Seq: 1)] - [Unit Mix (Seq: 19)] Net Rentable Sq Ft - Send]&gt;</t>
        </r>
      </text>
    </comment>
    <comment ref="T25" authorId="0" shapeId="0" xr:uid="{00000000-0006-0000-0500-000063000000}">
      <text>
        <r>
          <rPr>
            <b/>
            <sz val="8"/>
            <color indexed="81"/>
            <rFont val="Tahoma"/>
            <family val="2"/>
          </rPr>
          <t>&lt;[[TCDeals] - [TC Property Current Stage (Seq: 1)] - [Unit Mix (Seq: 19)] Income Target - Send]&gt;</t>
        </r>
      </text>
    </comment>
    <comment ref="U25" authorId="0" shapeId="0" xr:uid="{00000000-0006-0000-0500-000064000000}">
      <text>
        <r>
          <rPr>
            <b/>
            <sz val="8"/>
            <color indexed="81"/>
            <rFont val="Tahoma"/>
            <family val="2"/>
          </rPr>
          <t>&lt;[[TCDeals] - [TC Property Current Stage (Seq: 1)] - [Unit Mix (Seq: 19)] Monthly Rent Per Unit - Send]&gt;</t>
        </r>
      </text>
    </comment>
    <comment ref="N26" authorId="0" shapeId="0" xr:uid="{00000000-0006-0000-0500-000065000000}">
      <text>
        <r>
          <rPr>
            <b/>
            <sz val="8"/>
            <color indexed="81"/>
            <rFont val="Tahoma"/>
            <family val="2"/>
          </rPr>
          <t>&lt;[[TCDeals] - [TC Property Current Stage (Seq: 1)] - [Unit Mix (Seq: 20)] TC Unit Mix Type - Send]&gt;</t>
        </r>
      </text>
    </comment>
    <comment ref="O26" authorId="0" shapeId="0" xr:uid="{00000000-0006-0000-0500-000066000000}">
      <text>
        <r>
          <rPr>
            <b/>
            <sz val="8"/>
            <color indexed="81"/>
            <rFont val="Tahoma"/>
            <family val="2"/>
          </rPr>
          <t>&lt;[[TCDeals] - [TC Property Current Stage (Seq: 1)] - [Unit Mix (Seq: 20)] Num Units - Send]&gt;</t>
        </r>
      </text>
    </comment>
    <comment ref="R26" authorId="0" shapeId="0" xr:uid="{00000000-0006-0000-0500-000067000000}">
      <text>
        <r>
          <rPr>
            <b/>
            <sz val="8"/>
            <color indexed="81"/>
            <rFont val="Tahoma"/>
            <family val="2"/>
          </rPr>
          <t>&lt;[[TCDeals] - [TC Property Current Stage (Seq: 1)] - [Unit Mix (Seq: 20)] Net Rentable Sq Ft - Send]&gt;</t>
        </r>
      </text>
    </comment>
    <comment ref="T26" authorId="0" shapeId="0" xr:uid="{00000000-0006-0000-0500-000068000000}">
      <text>
        <r>
          <rPr>
            <b/>
            <sz val="8"/>
            <color indexed="81"/>
            <rFont val="Tahoma"/>
            <family val="2"/>
          </rPr>
          <t>&lt;[[TCDeals] - [TC Property Current Stage (Seq: 1)] - [Unit Mix (Seq: 20)] Income Target - Send]&gt;</t>
        </r>
      </text>
    </comment>
    <comment ref="U26" authorId="0" shapeId="0" xr:uid="{00000000-0006-0000-0500-000069000000}">
      <text>
        <r>
          <rPr>
            <b/>
            <sz val="8"/>
            <color indexed="81"/>
            <rFont val="Tahoma"/>
            <family val="2"/>
          </rPr>
          <t>&lt;[[TCDeals] - [TC Property Current Stage (Seq: 1)] - [Unit Mix (Seq: 20)] Monthly Rent Per Unit - Send]&gt;</t>
        </r>
      </text>
    </comment>
    <comment ref="N27" authorId="0" shapeId="0" xr:uid="{00000000-0006-0000-0500-00006A000000}">
      <text>
        <r>
          <rPr>
            <b/>
            <sz val="8"/>
            <color indexed="81"/>
            <rFont val="Tahoma"/>
            <family val="2"/>
          </rPr>
          <t>&lt;[[TCDeals] - [TC Property Current Stage (Seq: 1)] - [Unit Mix (Seq: 21)] TC Unit Mix Type - Send]&gt;</t>
        </r>
      </text>
    </comment>
    <comment ref="O27" authorId="0" shapeId="0" xr:uid="{00000000-0006-0000-0500-00006B000000}">
      <text>
        <r>
          <rPr>
            <b/>
            <sz val="8"/>
            <color indexed="81"/>
            <rFont val="Tahoma"/>
            <family val="2"/>
          </rPr>
          <t>&lt;[[TCDeals] - [TC Property Current Stage (Seq: 1)] - [Unit Mix (Seq: 21)] Num Units - Send]&gt;</t>
        </r>
      </text>
    </comment>
    <comment ref="R27" authorId="0" shapeId="0" xr:uid="{00000000-0006-0000-0500-00006C000000}">
      <text>
        <r>
          <rPr>
            <b/>
            <sz val="8"/>
            <color indexed="81"/>
            <rFont val="Tahoma"/>
            <family val="2"/>
          </rPr>
          <t>&lt;[[TCDeals] - [TC Property Current Stage (Seq: 1)] - [Unit Mix (Seq: 21)] Net Rentable Sq Ft - Send]&gt;</t>
        </r>
      </text>
    </comment>
    <comment ref="T27" authorId="0" shapeId="0" xr:uid="{00000000-0006-0000-0500-00006D000000}">
      <text>
        <r>
          <rPr>
            <b/>
            <sz val="8"/>
            <color indexed="81"/>
            <rFont val="Tahoma"/>
            <family val="2"/>
          </rPr>
          <t>&lt;[[TCDeals] - [TC Property Current Stage (Seq: 1)] - [Unit Mix (Seq: 21)] Income Target - Send]&gt;</t>
        </r>
      </text>
    </comment>
    <comment ref="U27" authorId="0" shapeId="0" xr:uid="{00000000-0006-0000-0500-00006E000000}">
      <text>
        <r>
          <rPr>
            <b/>
            <sz val="8"/>
            <color indexed="81"/>
            <rFont val="Tahoma"/>
            <family val="2"/>
          </rPr>
          <t>&lt;[[TCDeals] - [TC Property Current Stage (Seq: 1)] - [Unit Mix (Seq: 21)] Monthly Rent Per Unit - Send]&gt;</t>
        </r>
      </text>
    </comment>
    <comment ref="N28" authorId="0" shapeId="0" xr:uid="{00000000-0006-0000-0500-00006F000000}">
      <text>
        <r>
          <rPr>
            <b/>
            <sz val="8"/>
            <color indexed="81"/>
            <rFont val="Tahoma"/>
            <family val="2"/>
          </rPr>
          <t>&lt;[[TCDeals] - [TC Property Current Stage (Seq: 1)] - [Unit Mix (Seq: 22)] TC Unit Mix Type - Send]&gt;</t>
        </r>
      </text>
    </comment>
    <comment ref="O28" authorId="0" shapeId="0" xr:uid="{00000000-0006-0000-0500-000070000000}">
      <text>
        <r>
          <rPr>
            <b/>
            <sz val="8"/>
            <color indexed="81"/>
            <rFont val="Tahoma"/>
            <family val="2"/>
          </rPr>
          <t>&lt;[[TCDeals] - [TC Property Current Stage (Seq: 1)] - [Unit Mix (Seq: 22)] Num Units - Send]&gt;</t>
        </r>
      </text>
    </comment>
    <comment ref="R28" authorId="0" shapeId="0" xr:uid="{00000000-0006-0000-0500-000071000000}">
      <text>
        <r>
          <rPr>
            <b/>
            <sz val="8"/>
            <color indexed="81"/>
            <rFont val="Tahoma"/>
            <family val="2"/>
          </rPr>
          <t>&lt;[[TCDeals] - [TC Property Current Stage (Seq: 1)] - [Unit Mix (Seq: 22)] Net Rentable Sq Ft - Send]&gt;</t>
        </r>
      </text>
    </comment>
    <comment ref="T28" authorId="0" shapeId="0" xr:uid="{00000000-0006-0000-0500-000072000000}">
      <text>
        <r>
          <rPr>
            <b/>
            <sz val="8"/>
            <color indexed="81"/>
            <rFont val="Tahoma"/>
            <family val="2"/>
          </rPr>
          <t>&lt;[[TCDeals] - [TC Property Current Stage (Seq: 1)] - [Unit Mix (Seq: 22)] Income Target - Send]&gt;</t>
        </r>
      </text>
    </comment>
    <comment ref="U28" authorId="0" shapeId="0" xr:uid="{00000000-0006-0000-0500-000073000000}">
      <text>
        <r>
          <rPr>
            <b/>
            <sz val="8"/>
            <color indexed="81"/>
            <rFont val="Tahoma"/>
            <family val="2"/>
          </rPr>
          <t>&lt;[[TCDeals] - [TC Property Current Stage (Seq: 1)] - [Unit Mix (Seq: 22)] Monthly Rent Per Unit - Send]&gt;</t>
        </r>
      </text>
    </comment>
    <comment ref="N29" authorId="0" shapeId="0" xr:uid="{00000000-0006-0000-0500-000074000000}">
      <text>
        <r>
          <rPr>
            <b/>
            <sz val="8"/>
            <color indexed="81"/>
            <rFont val="Tahoma"/>
            <family val="2"/>
          </rPr>
          <t>&lt;[[TCDeals] - [TC Property Current Stage (Seq: 1)] - [Unit Mix (Seq: 23)] TC Unit Mix Type - Send]&gt;</t>
        </r>
      </text>
    </comment>
    <comment ref="O29" authorId="0" shapeId="0" xr:uid="{00000000-0006-0000-0500-000075000000}">
      <text>
        <r>
          <rPr>
            <b/>
            <sz val="8"/>
            <color indexed="81"/>
            <rFont val="Tahoma"/>
            <family val="2"/>
          </rPr>
          <t>&lt;[[TCDeals] - [TC Property Current Stage (Seq: 1)] - [Unit Mix (Seq: 23)] Num Units - Send]&gt;</t>
        </r>
      </text>
    </comment>
    <comment ref="R29" authorId="0" shapeId="0" xr:uid="{00000000-0006-0000-0500-000076000000}">
      <text>
        <r>
          <rPr>
            <b/>
            <sz val="8"/>
            <color indexed="81"/>
            <rFont val="Tahoma"/>
            <family val="2"/>
          </rPr>
          <t>&lt;[[TCDeals] - [TC Property Current Stage (Seq: 1)] - [Unit Mix (Seq: 23)] Net Rentable Sq Ft - Send]&gt;</t>
        </r>
      </text>
    </comment>
    <comment ref="T29" authorId="0" shapeId="0" xr:uid="{00000000-0006-0000-0500-000077000000}">
      <text>
        <r>
          <rPr>
            <b/>
            <sz val="8"/>
            <color indexed="81"/>
            <rFont val="Tahoma"/>
            <family val="2"/>
          </rPr>
          <t>&lt;[[TCDeals] - [TC Property Current Stage (Seq: 1)] - [Unit Mix (Seq: 23)] Income Target - Send]&gt;</t>
        </r>
      </text>
    </comment>
    <comment ref="U29" authorId="0" shapeId="0" xr:uid="{00000000-0006-0000-0500-000078000000}">
      <text>
        <r>
          <rPr>
            <b/>
            <sz val="8"/>
            <color indexed="81"/>
            <rFont val="Tahoma"/>
            <family val="2"/>
          </rPr>
          <t>&lt;[[TCDeals] - [TC Property Current Stage (Seq: 1)] - [Unit Mix (Seq: 23)] Monthly Rent Per Unit - Send]&gt;</t>
        </r>
      </text>
    </comment>
    <comment ref="N30" authorId="0" shapeId="0" xr:uid="{00000000-0006-0000-0500-000079000000}">
      <text>
        <r>
          <rPr>
            <b/>
            <sz val="8"/>
            <color indexed="81"/>
            <rFont val="Tahoma"/>
            <family val="2"/>
          </rPr>
          <t>&lt;[[TCDeals] - [TC Property Current Stage (Seq: 1)] - [Unit Mix (Seq: 24)] TC Unit Mix Type - Send]&gt;</t>
        </r>
      </text>
    </comment>
    <comment ref="O30" authorId="0" shapeId="0" xr:uid="{00000000-0006-0000-0500-00007A000000}">
      <text>
        <r>
          <rPr>
            <b/>
            <sz val="8"/>
            <color indexed="81"/>
            <rFont val="Tahoma"/>
            <family val="2"/>
          </rPr>
          <t>&lt;[[TCDeals] - [TC Property Current Stage (Seq: 1)] - [Unit Mix (Seq: 24)] Num Units - Send]&gt;</t>
        </r>
      </text>
    </comment>
    <comment ref="R30" authorId="0" shapeId="0" xr:uid="{00000000-0006-0000-0500-00007B000000}">
      <text>
        <r>
          <rPr>
            <b/>
            <sz val="8"/>
            <color indexed="81"/>
            <rFont val="Tahoma"/>
            <family val="2"/>
          </rPr>
          <t>&lt;[[TCDeals] - [TC Property Current Stage (Seq: 1)] - [Unit Mix (Seq: 24)] Net Rentable Sq Ft - Send]&gt;</t>
        </r>
      </text>
    </comment>
    <comment ref="T30" authorId="0" shapeId="0" xr:uid="{00000000-0006-0000-0500-00007C000000}">
      <text>
        <r>
          <rPr>
            <b/>
            <sz val="8"/>
            <color indexed="81"/>
            <rFont val="Tahoma"/>
            <family val="2"/>
          </rPr>
          <t>&lt;[[TCDeals] - [TC Property Current Stage (Seq: 1)] - [Unit Mix (Seq: 24)] Income Target - Send]&gt;</t>
        </r>
      </text>
    </comment>
    <comment ref="U30" authorId="0" shapeId="0" xr:uid="{00000000-0006-0000-0500-00007D000000}">
      <text>
        <r>
          <rPr>
            <b/>
            <sz val="8"/>
            <color indexed="81"/>
            <rFont val="Tahoma"/>
            <family val="2"/>
          </rPr>
          <t>&lt;[[TCDeals] - [TC Property Current Stage (Seq: 1)] - [Unit Mix (Seq: 24)] Monthly Rent Per Unit - Send]&gt;</t>
        </r>
      </text>
    </comment>
    <comment ref="N31" authorId="0" shapeId="0" xr:uid="{00000000-0006-0000-0500-00007E000000}">
      <text>
        <r>
          <rPr>
            <b/>
            <sz val="8"/>
            <color indexed="81"/>
            <rFont val="Tahoma"/>
            <family val="2"/>
          </rPr>
          <t>&lt;[[TCDeals] - [TC Property Current Stage (Seq: 1)] - [Unit Mix (Seq: 25)] TC Unit Mix Type - Send]&gt;</t>
        </r>
      </text>
    </comment>
    <comment ref="O31" authorId="0" shapeId="0" xr:uid="{00000000-0006-0000-0500-00007F000000}">
      <text>
        <r>
          <rPr>
            <b/>
            <sz val="8"/>
            <color indexed="81"/>
            <rFont val="Tahoma"/>
            <family val="2"/>
          </rPr>
          <t>&lt;[[TCDeals] - [TC Property Current Stage (Seq: 1)] - [Unit Mix (Seq: 25)] Num Units - Send]&gt;</t>
        </r>
      </text>
    </comment>
    <comment ref="R31" authorId="0" shapeId="0" xr:uid="{00000000-0006-0000-0500-000080000000}">
      <text>
        <r>
          <rPr>
            <b/>
            <sz val="8"/>
            <color indexed="81"/>
            <rFont val="Tahoma"/>
            <family val="2"/>
          </rPr>
          <t>&lt;[[TCDeals] - [TC Property Current Stage (Seq: 1)] - [Unit Mix (Seq: 25)] Net Rentable Sq Ft - Send]&gt;</t>
        </r>
      </text>
    </comment>
    <comment ref="T31" authorId="0" shapeId="0" xr:uid="{00000000-0006-0000-0500-000081000000}">
      <text>
        <r>
          <rPr>
            <b/>
            <sz val="8"/>
            <color indexed="81"/>
            <rFont val="Tahoma"/>
            <family val="2"/>
          </rPr>
          <t>&lt;[[TCDeals] - [TC Property Current Stage (Seq: 1)] - [Unit Mix (Seq: 25)] Income Target - Send]&gt;</t>
        </r>
      </text>
    </comment>
    <comment ref="U31" authorId="0" shapeId="0" xr:uid="{00000000-0006-0000-0500-000082000000}">
      <text>
        <r>
          <rPr>
            <b/>
            <sz val="8"/>
            <color indexed="81"/>
            <rFont val="Tahoma"/>
            <family val="2"/>
          </rPr>
          <t>&lt;[[TCDeals] - [TC Property Current Stage (Seq: 1)] - [Unit Mix (Seq: 25)] Monthly Rent Per Unit - Send]&gt;</t>
        </r>
      </text>
    </comment>
    <comment ref="N32" authorId="0" shapeId="0" xr:uid="{00000000-0006-0000-0500-000083000000}">
      <text>
        <r>
          <rPr>
            <b/>
            <sz val="8"/>
            <color indexed="81"/>
            <rFont val="Tahoma"/>
            <family val="2"/>
          </rPr>
          <t>&lt;[[TCDeals] - [TC Property Current Stage (Seq: 1)] - [Unit Mix (Seq: 26)] TC Unit Mix Type - Send]&gt;</t>
        </r>
      </text>
    </comment>
    <comment ref="O32" authorId="0" shapeId="0" xr:uid="{00000000-0006-0000-0500-000084000000}">
      <text>
        <r>
          <rPr>
            <b/>
            <sz val="8"/>
            <color indexed="81"/>
            <rFont val="Tahoma"/>
            <family val="2"/>
          </rPr>
          <t>&lt;[[TCDeals] - [TC Property Current Stage (Seq: 1)] - [Unit Mix (Seq: 26)] Num Units - Send]&gt;</t>
        </r>
      </text>
    </comment>
    <comment ref="R32" authorId="0" shapeId="0" xr:uid="{00000000-0006-0000-0500-000085000000}">
      <text>
        <r>
          <rPr>
            <b/>
            <sz val="8"/>
            <color indexed="81"/>
            <rFont val="Tahoma"/>
            <family val="2"/>
          </rPr>
          <t>&lt;[[TCDeals] - [TC Property Current Stage (Seq: 1)] - [Unit Mix (Seq: 26)] Net Rentable Sq Ft - Send]&gt;</t>
        </r>
      </text>
    </comment>
    <comment ref="T32" authorId="0" shapeId="0" xr:uid="{00000000-0006-0000-0500-000086000000}">
      <text>
        <r>
          <rPr>
            <b/>
            <sz val="8"/>
            <color indexed="81"/>
            <rFont val="Tahoma"/>
            <family val="2"/>
          </rPr>
          <t>&lt;[[TCDeals] - [TC Property Current Stage (Seq: 1)] - [Unit Mix (Seq: 26)] Income Target - Send]&gt;</t>
        </r>
      </text>
    </comment>
    <comment ref="U32" authorId="0" shapeId="0" xr:uid="{00000000-0006-0000-0500-000087000000}">
      <text>
        <r>
          <rPr>
            <b/>
            <sz val="8"/>
            <color indexed="81"/>
            <rFont val="Tahoma"/>
            <family val="2"/>
          </rPr>
          <t>&lt;[[TCDeals] - [TC Property Current Stage (Seq: 1)] - [Unit Mix (Seq: 26)] Monthly Rent Per Unit - Send]&gt;</t>
        </r>
      </text>
    </comment>
    <comment ref="N33" authorId="0" shapeId="0" xr:uid="{00000000-0006-0000-0500-000088000000}">
      <text>
        <r>
          <rPr>
            <b/>
            <sz val="8"/>
            <color indexed="81"/>
            <rFont val="Tahoma"/>
            <family val="2"/>
          </rPr>
          <t>&lt;[[TCDeals] - [TC Property Current Stage (Seq: 1)] - [Unit Mix (Seq: 27)] TC Unit Mix Type - Send]&gt;</t>
        </r>
      </text>
    </comment>
    <comment ref="O33" authorId="0" shapeId="0" xr:uid="{00000000-0006-0000-0500-000089000000}">
      <text>
        <r>
          <rPr>
            <b/>
            <sz val="8"/>
            <color indexed="81"/>
            <rFont val="Tahoma"/>
            <family val="2"/>
          </rPr>
          <t>&lt;[[TCDeals] - [TC Property Current Stage (Seq: 1)] - [Unit Mix (Seq: 27)] Num Units - Send]&gt;</t>
        </r>
      </text>
    </comment>
    <comment ref="R33" authorId="0" shapeId="0" xr:uid="{00000000-0006-0000-0500-00008A000000}">
      <text>
        <r>
          <rPr>
            <b/>
            <sz val="8"/>
            <color indexed="81"/>
            <rFont val="Tahoma"/>
            <family val="2"/>
          </rPr>
          <t>&lt;[[TCDeals] - [TC Property Current Stage (Seq: 1)] - [Unit Mix (Seq: 27)] Net Rentable Sq Ft - Send]&gt;</t>
        </r>
      </text>
    </comment>
    <comment ref="T33" authorId="0" shapeId="0" xr:uid="{00000000-0006-0000-0500-00008B000000}">
      <text>
        <r>
          <rPr>
            <b/>
            <sz val="8"/>
            <color indexed="81"/>
            <rFont val="Tahoma"/>
            <family val="2"/>
          </rPr>
          <t>&lt;[[TCDeals] - [TC Property Current Stage (Seq: 1)] - [Unit Mix (Seq: 27)] Income Target - Send]&gt;</t>
        </r>
      </text>
    </comment>
    <comment ref="U33" authorId="0" shapeId="0" xr:uid="{00000000-0006-0000-0500-00008C000000}">
      <text>
        <r>
          <rPr>
            <b/>
            <sz val="8"/>
            <color indexed="81"/>
            <rFont val="Tahoma"/>
            <family val="2"/>
          </rPr>
          <t>&lt;[[TCDeals] - [TC Property Current Stage (Seq: 1)] - [Unit Mix (Seq: 27)] Monthly Rent Per Unit - Send]&gt;</t>
        </r>
      </text>
    </comment>
    <comment ref="N34" authorId="0" shapeId="0" xr:uid="{00000000-0006-0000-0500-00008D000000}">
      <text>
        <r>
          <rPr>
            <b/>
            <sz val="8"/>
            <color indexed="81"/>
            <rFont val="Tahoma"/>
            <family val="2"/>
          </rPr>
          <t>&lt;[[TCDeals] - [TC Property Current Stage (Seq: 1)] - [Unit Mix (Seq: 28)] TC Unit Mix Type - Send]&gt;</t>
        </r>
      </text>
    </comment>
    <comment ref="O34" authorId="0" shapeId="0" xr:uid="{00000000-0006-0000-0500-00008E000000}">
      <text>
        <r>
          <rPr>
            <b/>
            <sz val="8"/>
            <color indexed="81"/>
            <rFont val="Tahoma"/>
            <family val="2"/>
          </rPr>
          <t>&lt;[[TCDeals] - [TC Property Current Stage (Seq: 1)] - [Unit Mix (Seq: 28)] Num Units - Send]&gt;</t>
        </r>
      </text>
    </comment>
    <comment ref="R34" authorId="0" shapeId="0" xr:uid="{00000000-0006-0000-0500-00008F000000}">
      <text>
        <r>
          <rPr>
            <b/>
            <sz val="8"/>
            <color indexed="81"/>
            <rFont val="Tahoma"/>
            <family val="2"/>
          </rPr>
          <t>&lt;[[TCDeals] - [TC Property Current Stage (Seq: 1)] - [Unit Mix (Seq: 28)] Net Rentable Sq Ft - Send]&gt;</t>
        </r>
      </text>
    </comment>
    <comment ref="T34" authorId="0" shapeId="0" xr:uid="{00000000-0006-0000-0500-000090000000}">
      <text>
        <r>
          <rPr>
            <b/>
            <sz val="8"/>
            <color indexed="81"/>
            <rFont val="Tahoma"/>
            <family val="2"/>
          </rPr>
          <t>&lt;[[TCDeals] - [TC Property Current Stage (Seq: 1)] - [Unit Mix (Seq: 28)] Income Target - Send]&gt;</t>
        </r>
      </text>
    </comment>
    <comment ref="U34" authorId="0" shapeId="0" xr:uid="{00000000-0006-0000-0500-000091000000}">
      <text>
        <r>
          <rPr>
            <b/>
            <sz val="8"/>
            <color indexed="81"/>
            <rFont val="Tahoma"/>
            <family val="2"/>
          </rPr>
          <t>&lt;[[TCDeals] - [TC Property Current Stage (Seq: 1)] - [Unit Mix (Seq: 28)] Monthly Rent Per Unit - Send]&gt;</t>
        </r>
      </text>
    </comment>
    <comment ref="N35" authorId="0" shapeId="0" xr:uid="{00000000-0006-0000-0500-000092000000}">
      <text>
        <r>
          <rPr>
            <b/>
            <sz val="8"/>
            <color indexed="81"/>
            <rFont val="Tahoma"/>
            <family val="2"/>
          </rPr>
          <t>&lt;[[TCDeals] - [TC Property Current Stage (Seq: 1)] - [Unit Mix (Seq: 29)] TC Unit Mix Type - Send]&gt;</t>
        </r>
      </text>
    </comment>
    <comment ref="O35" authorId="0" shapeId="0" xr:uid="{00000000-0006-0000-0500-000093000000}">
      <text>
        <r>
          <rPr>
            <b/>
            <sz val="8"/>
            <color indexed="81"/>
            <rFont val="Tahoma"/>
            <family val="2"/>
          </rPr>
          <t>&lt;[[TCDeals] - [TC Property Current Stage (Seq: 1)] - [Unit Mix (Seq: 29)] Num Units - Send]&gt;</t>
        </r>
      </text>
    </comment>
    <comment ref="R35" authorId="0" shapeId="0" xr:uid="{00000000-0006-0000-0500-000094000000}">
      <text>
        <r>
          <rPr>
            <b/>
            <sz val="8"/>
            <color indexed="81"/>
            <rFont val="Tahoma"/>
            <family val="2"/>
          </rPr>
          <t>&lt;[[TCDeals] - [TC Property Current Stage (Seq: 1)] - [Unit Mix (Seq: 29)] Net Rentable Sq Ft - Send]&gt;</t>
        </r>
      </text>
    </comment>
    <comment ref="T35" authorId="0" shapeId="0" xr:uid="{00000000-0006-0000-0500-000095000000}">
      <text>
        <r>
          <rPr>
            <b/>
            <sz val="8"/>
            <color indexed="81"/>
            <rFont val="Tahoma"/>
            <family val="2"/>
          </rPr>
          <t>&lt;[[TCDeals] - [TC Property Current Stage (Seq: 1)] - [Unit Mix (Seq: 29)] Income Target - Send]&gt;</t>
        </r>
      </text>
    </comment>
    <comment ref="U35" authorId="0" shapeId="0" xr:uid="{00000000-0006-0000-0500-000096000000}">
      <text>
        <r>
          <rPr>
            <b/>
            <sz val="8"/>
            <color indexed="81"/>
            <rFont val="Tahoma"/>
            <family val="2"/>
          </rPr>
          <t>&lt;[[TCDeals] - [TC Property Current Stage (Seq: 1)] - [Unit Mix (Seq: 29)] Monthly Rent Per Unit - Send]&gt;</t>
        </r>
      </text>
    </comment>
    <comment ref="N36" authorId="0" shapeId="0" xr:uid="{00000000-0006-0000-0500-000097000000}">
      <text>
        <r>
          <rPr>
            <b/>
            <sz val="8"/>
            <color indexed="81"/>
            <rFont val="Tahoma"/>
            <family val="2"/>
          </rPr>
          <t>&lt;[[TCDeals] - [TC Property Current Stage (Seq: 1)] - [Unit Mix (Seq: 30)] TC Unit Mix Type - Send]&gt;</t>
        </r>
      </text>
    </comment>
    <comment ref="O36" authorId="0" shapeId="0" xr:uid="{00000000-0006-0000-0500-000098000000}">
      <text>
        <r>
          <rPr>
            <b/>
            <sz val="8"/>
            <color indexed="81"/>
            <rFont val="Tahoma"/>
            <family val="2"/>
          </rPr>
          <t>&lt;[[TCDeals] - [TC Property Current Stage (Seq: 1)] - [Unit Mix (Seq: 30)] Num Units - Send]&gt;</t>
        </r>
      </text>
    </comment>
    <comment ref="R36" authorId="0" shapeId="0" xr:uid="{00000000-0006-0000-0500-000099000000}">
      <text>
        <r>
          <rPr>
            <b/>
            <sz val="8"/>
            <color indexed="81"/>
            <rFont val="Tahoma"/>
            <family val="2"/>
          </rPr>
          <t>&lt;[[TCDeals] - [TC Property Current Stage (Seq: 1)] - [Unit Mix (Seq: 30)] Net Rentable Sq Ft - Send]&gt;</t>
        </r>
      </text>
    </comment>
    <comment ref="T36" authorId="0" shapeId="0" xr:uid="{00000000-0006-0000-0500-00009A000000}">
      <text>
        <r>
          <rPr>
            <b/>
            <sz val="8"/>
            <color indexed="81"/>
            <rFont val="Tahoma"/>
            <family val="2"/>
          </rPr>
          <t>&lt;[[TCDeals] - [TC Property Current Stage (Seq: 1)] - [Unit Mix (Seq: 30)] Income Target - Send]&gt;</t>
        </r>
      </text>
    </comment>
    <comment ref="U36" authorId="0" shapeId="0" xr:uid="{00000000-0006-0000-0500-00009B000000}">
      <text>
        <r>
          <rPr>
            <b/>
            <sz val="8"/>
            <color indexed="81"/>
            <rFont val="Tahoma"/>
            <family val="2"/>
          </rPr>
          <t>&lt;[[TCDeals] - [TC Property Current Stage (Seq: 1)] - [Unit Mix (Seq: 30)] Monthly Rent Per Unit - Send]&gt;</t>
        </r>
      </text>
    </comment>
    <comment ref="N37" authorId="0" shapeId="0" xr:uid="{00000000-0006-0000-0500-00009C000000}">
      <text>
        <r>
          <rPr>
            <b/>
            <sz val="8"/>
            <color indexed="81"/>
            <rFont val="Tahoma"/>
            <family val="2"/>
          </rPr>
          <t>&lt;[[TCDeals] - [TC Property Current Stage (Seq: 1)] - [Unit Mix (Seq: 31)] TC Unit Mix Type - Send]&gt;</t>
        </r>
      </text>
    </comment>
    <comment ref="O37" authorId="0" shapeId="0" xr:uid="{00000000-0006-0000-0500-00009D000000}">
      <text>
        <r>
          <rPr>
            <b/>
            <sz val="8"/>
            <color indexed="81"/>
            <rFont val="Tahoma"/>
            <family val="2"/>
          </rPr>
          <t>&lt;[[TCDeals] - [TC Property Current Stage (Seq: 1)] - [Unit Mix (Seq: 31)] Num Units - Send]&gt;</t>
        </r>
      </text>
    </comment>
    <comment ref="R37" authorId="0" shapeId="0" xr:uid="{00000000-0006-0000-0500-00009E000000}">
      <text>
        <r>
          <rPr>
            <b/>
            <sz val="8"/>
            <color indexed="81"/>
            <rFont val="Tahoma"/>
            <family val="2"/>
          </rPr>
          <t>&lt;[[TCDeals] - [TC Property Current Stage (Seq: 1)] - [Unit Mix (Seq: 31)] Net Rentable Sq Ft - Send]&gt;</t>
        </r>
      </text>
    </comment>
    <comment ref="T37" authorId="0" shapeId="0" xr:uid="{00000000-0006-0000-0500-00009F000000}">
      <text>
        <r>
          <rPr>
            <b/>
            <sz val="8"/>
            <color indexed="81"/>
            <rFont val="Tahoma"/>
            <family val="2"/>
          </rPr>
          <t>&lt;[[TCDeals] - [TC Property Current Stage (Seq: 1)] - [Unit Mix (Seq: 31)] Income Target - Send]&gt;</t>
        </r>
      </text>
    </comment>
    <comment ref="U37" authorId="0" shapeId="0" xr:uid="{00000000-0006-0000-0500-0000A0000000}">
      <text>
        <r>
          <rPr>
            <b/>
            <sz val="8"/>
            <color indexed="81"/>
            <rFont val="Tahoma"/>
            <family val="2"/>
          </rPr>
          <t>&lt;[[TCDeals] - [TC Property Current Stage (Seq: 1)] - [Unit Mix (Seq: 31)] Monthly Rent Per Unit - Send]&gt;</t>
        </r>
      </text>
    </comment>
    <comment ref="N38" authorId="0" shapeId="0" xr:uid="{00000000-0006-0000-0500-0000A1000000}">
      <text>
        <r>
          <rPr>
            <b/>
            <sz val="8"/>
            <color indexed="81"/>
            <rFont val="Tahoma"/>
            <family val="2"/>
          </rPr>
          <t>&lt;[[TCDeals] - [TC Property Current Stage (Seq: 1)] - [Unit Mix (Seq: 32)] TC Unit Mix Type - Send]&gt;</t>
        </r>
      </text>
    </comment>
    <comment ref="O38" authorId="0" shapeId="0" xr:uid="{00000000-0006-0000-0500-0000A2000000}">
      <text>
        <r>
          <rPr>
            <b/>
            <sz val="8"/>
            <color indexed="81"/>
            <rFont val="Tahoma"/>
            <family val="2"/>
          </rPr>
          <t>&lt;[[TCDeals] - [TC Property Current Stage (Seq: 1)] - [Unit Mix (Seq: 32)] Num Units - Send]&gt;</t>
        </r>
      </text>
    </comment>
    <comment ref="R38" authorId="0" shapeId="0" xr:uid="{00000000-0006-0000-0500-0000A3000000}">
      <text>
        <r>
          <rPr>
            <b/>
            <sz val="8"/>
            <color indexed="81"/>
            <rFont val="Tahoma"/>
            <family val="2"/>
          </rPr>
          <t>&lt;[[TCDeals] - [TC Property Current Stage (Seq: 1)] - [Unit Mix (Seq: 32)] Net Rentable Sq Ft - Send]&gt;</t>
        </r>
      </text>
    </comment>
    <comment ref="T38" authorId="0" shapeId="0" xr:uid="{00000000-0006-0000-0500-0000A4000000}">
      <text>
        <r>
          <rPr>
            <b/>
            <sz val="8"/>
            <color indexed="81"/>
            <rFont val="Tahoma"/>
            <family val="2"/>
          </rPr>
          <t>&lt;[[TCDeals] - [TC Property Current Stage (Seq: 1)] - [Unit Mix (Seq: 32)] Income Target - Send]&gt;</t>
        </r>
      </text>
    </comment>
    <comment ref="U38" authorId="0" shapeId="0" xr:uid="{00000000-0006-0000-0500-0000A5000000}">
      <text>
        <r>
          <rPr>
            <b/>
            <sz val="8"/>
            <color indexed="81"/>
            <rFont val="Tahoma"/>
            <family val="2"/>
          </rPr>
          <t>&lt;[[TCDeals] - [TC Property Current Stage (Seq: 1)] - [Unit Mix (Seq: 32)] Monthly Rent Per Unit - Send]&gt;</t>
        </r>
      </text>
    </comment>
    <comment ref="N39" authorId="0" shapeId="0" xr:uid="{00000000-0006-0000-0500-0000A6000000}">
      <text>
        <r>
          <rPr>
            <b/>
            <sz val="8"/>
            <color indexed="81"/>
            <rFont val="Tahoma"/>
            <family val="2"/>
          </rPr>
          <t>&lt;[[TCDeals] - [TC Property Current Stage (Seq: 1)] - [Unit Mix (Seq: 33)] TC Unit Mix Type - Send]&gt;</t>
        </r>
      </text>
    </comment>
    <comment ref="O39" authorId="0" shapeId="0" xr:uid="{00000000-0006-0000-0500-0000A7000000}">
      <text>
        <r>
          <rPr>
            <b/>
            <sz val="8"/>
            <color indexed="81"/>
            <rFont val="Tahoma"/>
            <family val="2"/>
          </rPr>
          <t>&lt;[[TCDeals] - [TC Property Current Stage (Seq: 1)] - [Unit Mix (Seq: 33)] Num Units - Send]&gt;</t>
        </r>
      </text>
    </comment>
    <comment ref="R39" authorId="0" shapeId="0" xr:uid="{00000000-0006-0000-0500-0000A8000000}">
      <text>
        <r>
          <rPr>
            <b/>
            <sz val="8"/>
            <color indexed="81"/>
            <rFont val="Tahoma"/>
            <family val="2"/>
          </rPr>
          <t>&lt;[[TCDeals] - [TC Property Current Stage (Seq: 1)] - [Unit Mix (Seq: 33)] Net Rentable Sq Ft - Send]&gt;</t>
        </r>
      </text>
    </comment>
    <comment ref="T39" authorId="0" shapeId="0" xr:uid="{00000000-0006-0000-0500-0000A9000000}">
      <text>
        <r>
          <rPr>
            <b/>
            <sz val="8"/>
            <color indexed="81"/>
            <rFont val="Tahoma"/>
            <family val="2"/>
          </rPr>
          <t>&lt;[[TCDeals] - [TC Property Current Stage (Seq: 1)] - [Unit Mix (Seq: 33)] Income Target - Send]&gt;</t>
        </r>
      </text>
    </comment>
    <comment ref="U39" authorId="0" shapeId="0" xr:uid="{00000000-0006-0000-0500-0000AA000000}">
      <text>
        <r>
          <rPr>
            <b/>
            <sz val="8"/>
            <color indexed="81"/>
            <rFont val="Tahoma"/>
            <family val="2"/>
          </rPr>
          <t>&lt;[[TCDeals] - [TC Property Current Stage (Seq: 1)] - [Unit Mix (Seq: 33)] Monthly Rent Per Unit - Send]&gt;</t>
        </r>
      </text>
    </comment>
    <comment ref="N40" authorId="0" shapeId="0" xr:uid="{00000000-0006-0000-0500-0000AB000000}">
      <text>
        <r>
          <rPr>
            <b/>
            <sz val="8"/>
            <color indexed="81"/>
            <rFont val="Tahoma"/>
            <family val="2"/>
          </rPr>
          <t>&lt;[[TCDeals] - [TC Property Current Stage (Seq: 1)] - [Unit Mix (Seq: 34)] TC Unit Mix Type - Send]&gt;</t>
        </r>
      </text>
    </comment>
    <comment ref="O40" authorId="0" shapeId="0" xr:uid="{00000000-0006-0000-0500-0000AC000000}">
      <text>
        <r>
          <rPr>
            <b/>
            <sz val="8"/>
            <color indexed="81"/>
            <rFont val="Tahoma"/>
            <family val="2"/>
          </rPr>
          <t>&lt;[[TCDeals] - [TC Property Current Stage (Seq: 1)] - [Unit Mix (Seq: 34)] Num Units - Send]&gt;</t>
        </r>
      </text>
    </comment>
    <comment ref="R40" authorId="0" shapeId="0" xr:uid="{00000000-0006-0000-0500-0000AD000000}">
      <text>
        <r>
          <rPr>
            <b/>
            <sz val="8"/>
            <color indexed="81"/>
            <rFont val="Tahoma"/>
            <family val="2"/>
          </rPr>
          <t>&lt;[[TCDeals] - [TC Property Current Stage (Seq: 1)] - [Unit Mix (Seq: 34)] Net Rentable Sq Ft - Send]&gt;</t>
        </r>
      </text>
    </comment>
    <comment ref="T40" authorId="0" shapeId="0" xr:uid="{00000000-0006-0000-0500-0000AE000000}">
      <text>
        <r>
          <rPr>
            <b/>
            <sz val="8"/>
            <color indexed="81"/>
            <rFont val="Tahoma"/>
            <family val="2"/>
          </rPr>
          <t>&lt;[[TCDeals] - [TC Property Current Stage (Seq: 1)] - [Unit Mix (Seq: 34)] Income Target - Send]&gt;</t>
        </r>
      </text>
    </comment>
    <comment ref="U40" authorId="0" shapeId="0" xr:uid="{00000000-0006-0000-0500-0000AF000000}">
      <text>
        <r>
          <rPr>
            <b/>
            <sz val="8"/>
            <color indexed="81"/>
            <rFont val="Tahoma"/>
            <family val="2"/>
          </rPr>
          <t>&lt;[[TCDeals] - [TC Property Current Stage (Seq: 1)] - [Unit Mix (Seq: 34)] Monthly Rent Per Unit - Send]&gt;</t>
        </r>
      </text>
    </comment>
    <comment ref="N41" authorId="0" shapeId="0" xr:uid="{00000000-0006-0000-0500-0000B0000000}">
      <text>
        <r>
          <rPr>
            <b/>
            <sz val="8"/>
            <color indexed="81"/>
            <rFont val="Tahoma"/>
            <family val="2"/>
          </rPr>
          <t>&lt;[[TCDeals] - [TC Property Current Stage (Seq: 1)] - [Unit Mix (Seq: 35)] TC Unit Mix Type - Send]&gt;</t>
        </r>
      </text>
    </comment>
    <comment ref="O41" authorId="0" shapeId="0" xr:uid="{00000000-0006-0000-0500-0000B1000000}">
      <text>
        <r>
          <rPr>
            <b/>
            <sz val="8"/>
            <color indexed="81"/>
            <rFont val="Tahoma"/>
            <family val="2"/>
          </rPr>
          <t>&lt;[[TCDeals] - [TC Property Current Stage (Seq: 1)] - [Unit Mix (Seq: 35)] Num Units - Send]&gt;</t>
        </r>
      </text>
    </comment>
    <comment ref="R41" authorId="0" shapeId="0" xr:uid="{00000000-0006-0000-0500-0000B2000000}">
      <text>
        <r>
          <rPr>
            <b/>
            <sz val="8"/>
            <color indexed="81"/>
            <rFont val="Tahoma"/>
            <family val="2"/>
          </rPr>
          <t>&lt;[[TCDeals] - [TC Property Current Stage (Seq: 1)] - [Unit Mix (Seq: 35)] Net Rentable Sq Ft - Send]&gt;</t>
        </r>
      </text>
    </comment>
    <comment ref="T41" authorId="0" shapeId="0" xr:uid="{00000000-0006-0000-0500-0000B3000000}">
      <text>
        <r>
          <rPr>
            <b/>
            <sz val="8"/>
            <color indexed="81"/>
            <rFont val="Tahoma"/>
            <family val="2"/>
          </rPr>
          <t>&lt;[[TCDeals] - [TC Property Current Stage (Seq: 1)] - [Unit Mix (Seq: 35)] Income Target - Send]&gt;</t>
        </r>
      </text>
    </comment>
    <comment ref="U41" authorId="0" shapeId="0" xr:uid="{00000000-0006-0000-0500-0000B4000000}">
      <text>
        <r>
          <rPr>
            <b/>
            <sz val="8"/>
            <color indexed="81"/>
            <rFont val="Tahoma"/>
            <family val="2"/>
          </rPr>
          <t>&lt;[[TCDeals] - [TC Property Current Stage (Seq: 1)] - [Unit Mix (Seq: 35)] Monthly Rent Per Unit - Send]&gt;</t>
        </r>
      </text>
    </comment>
    <comment ref="X42" authorId="1" shapeId="0" xr:uid="{594E30A8-F790-4893-87AA-5B3FD2D15087}">
      <text>
        <r>
          <rPr>
            <b/>
            <sz val="9"/>
            <color indexed="81"/>
            <rFont val="Tahoma"/>
            <family val="2"/>
          </rPr>
          <t>&lt;[[TCDeals] - [TC Property Current Stage (Seq: 1)] - [TC Unit Detail (Seq: 4)] Rent Units - Send]&gt;</t>
        </r>
      </text>
    </comment>
    <comment ref="Y42" authorId="0" shapeId="0" xr:uid="{00000000-0006-0000-0500-0000B6000000}">
      <text>
        <r>
          <rPr>
            <b/>
            <sz val="8"/>
            <color indexed="81"/>
            <rFont val="Tahoma"/>
            <family val="2"/>
          </rPr>
          <t>&lt;[[TCDeals] - [TC Property Current Stage (Seq: 1)] Total Low Income Units - Send]&gt;</t>
        </r>
      </text>
    </comment>
    <comment ref="AD42" authorId="1" shapeId="0" xr:uid="{FBB3DB3F-7B3D-4A5E-ABE8-066D78FB2117}">
      <text>
        <r>
          <rPr>
            <b/>
            <sz val="9"/>
            <color indexed="81"/>
            <rFont val="Tahoma"/>
            <family val="2"/>
          </rPr>
          <t>&lt;[[TCDeals] - [TC Property Current Stage (Seq: 1)] - [TC Unit Detail (Seq: 1)] Rent Units - Send]&gt;</t>
        </r>
      </text>
    </comment>
    <comment ref="AE42" authorId="1" shapeId="0" xr:uid="{4807824F-BDFA-4F7A-BAD2-023498EFB3C6}">
      <text>
        <r>
          <rPr>
            <b/>
            <sz val="9"/>
            <color indexed="81"/>
            <rFont val="Tahoma"/>
            <family val="2"/>
          </rPr>
          <t>&lt;[[TCDeals] - [TC Property Current Stage (Seq: 1)] - [TC Unit Detail (Seq: 2)] Rent Units - Send]&gt;</t>
        </r>
      </text>
    </comment>
    <comment ref="AF42" authorId="1" shapeId="0" xr:uid="{D24DF944-D338-4193-9B25-F575AA080E84}">
      <text>
        <r>
          <rPr>
            <b/>
            <sz val="9"/>
            <color indexed="81"/>
            <rFont val="Tahoma"/>
            <family val="2"/>
          </rPr>
          <t>&lt;[[TCDeals] - [TC Property Current Stage (Seq: 1)] - [TC Unit Detail (Seq: 3)] Rent Units - Send]&gt;</t>
        </r>
      </text>
    </comment>
    <comment ref="AH42" authorId="0" shapeId="0" xr:uid="{00000000-0006-0000-0500-0000BA000000}">
      <text>
        <r>
          <rPr>
            <b/>
            <sz val="8"/>
            <color indexed="81"/>
            <rFont val="Tahoma"/>
            <family val="2"/>
          </rPr>
          <t>&lt;[[TCDeals] - [TC Property Current Stage (Seq: 1)] - [Units (Seq: 1)] Num TC Units - Send]&gt;</t>
        </r>
      </text>
    </comment>
    <comment ref="AI42" authorId="0" shapeId="0" xr:uid="{00000000-0006-0000-0500-0000BB000000}">
      <text>
        <r>
          <rPr>
            <b/>
            <sz val="8"/>
            <color indexed="81"/>
            <rFont val="Tahoma"/>
            <family val="2"/>
          </rPr>
          <t>&lt;[[TCDeals] - [TC Property Current Stage (Seq: 1)] - [Units (Seq: 2)] Num TC Units - Send]&gt;</t>
        </r>
      </text>
    </comment>
    <comment ref="AJ42" authorId="0" shapeId="0" xr:uid="{00000000-0006-0000-0500-0000BC000000}">
      <text>
        <r>
          <rPr>
            <b/>
            <sz val="8"/>
            <color indexed="81"/>
            <rFont val="Tahoma"/>
            <family val="2"/>
          </rPr>
          <t>&lt;[[TCDeals] - [TC Property Current Stage (Seq: 1)] - [Units (Seq: 3)] Num TC Units - Send]&gt;</t>
        </r>
      </text>
    </comment>
    <comment ref="AK42" authorId="0" shapeId="0" xr:uid="{00000000-0006-0000-0500-0000BD000000}">
      <text>
        <r>
          <rPr>
            <b/>
            <sz val="8"/>
            <color indexed="81"/>
            <rFont val="Tahoma"/>
            <family val="2"/>
          </rPr>
          <t>&lt;[[TCDeals] - [TC Property Current Stage (Seq: 1)] - [Units (Seq: 4)] Num TC Units - Send]&gt;</t>
        </r>
      </text>
    </comment>
    <comment ref="AL42" authorId="0" shapeId="0" xr:uid="{00000000-0006-0000-0500-0000BE000000}">
      <text>
        <r>
          <rPr>
            <b/>
            <sz val="8"/>
            <color indexed="81"/>
            <rFont val="Tahoma"/>
            <family val="2"/>
          </rPr>
          <t>&lt;[[TCDeals] - [TC Property Current Stage (Seq: 1)] - [Units (Seq: 5)] Num TC Units - Send]&gt;</t>
        </r>
      </text>
    </comment>
    <comment ref="BA42" authorId="0" shapeId="0" xr:uid="{00000000-0006-0000-0500-0000BF000000}">
      <text>
        <r>
          <rPr>
            <b/>
            <sz val="8"/>
            <color indexed="81"/>
            <rFont val="Tahoma"/>
            <family val="2"/>
          </rPr>
          <t>&lt;[[TCDeals] - [TC Property Current Stage (Seq: 1)] Total New Units - Send]&gt;</t>
        </r>
      </text>
    </comment>
    <comment ref="BB42" authorId="0" shapeId="0" xr:uid="{00000000-0006-0000-0500-0000C0000000}">
      <text>
        <r>
          <rPr>
            <b/>
            <sz val="8"/>
            <color indexed="81"/>
            <rFont val="Tahoma"/>
            <family val="2"/>
          </rPr>
          <t>&lt;[[TCDeals] - [TC Property Current Stage (Seq: 1)] Total Reuse Units - Send]&gt;</t>
        </r>
      </text>
    </comment>
    <comment ref="BC43" authorId="0" shapeId="0" xr:uid="{00000000-0006-0000-0500-0000C1000000}">
      <text>
        <r>
          <rPr>
            <b/>
            <sz val="8"/>
            <color indexed="81"/>
            <rFont val="Tahoma"/>
            <family val="2"/>
          </rPr>
          <t>&lt;[[TCDeals] - [TC Property Current Stage (Seq: 1)] Total Rehab Units - Send]&gt;</t>
        </r>
      </text>
    </comment>
    <comment ref="X44" authorId="1" shapeId="0" xr:uid="{54015736-54B7-439C-BFA0-8A9DF92C7418}">
      <text>
        <r>
          <rPr>
            <b/>
            <sz val="9"/>
            <color indexed="81"/>
            <rFont val="Tahoma"/>
            <family val="2"/>
          </rPr>
          <t>&lt;[[TCDeals] - [TC Property Current Stage (Seq: 1)] - [TC Unit Detail (Seq: 4)] Rent Percentage - Send]&gt;</t>
        </r>
      </text>
    </comment>
    <comment ref="Y44" authorId="0" shapeId="0" xr:uid="{00000000-0006-0000-0500-0000C2000000}">
      <text>
        <r>
          <rPr>
            <b/>
            <sz val="8"/>
            <color indexed="81"/>
            <rFont val="Tahoma"/>
            <family val="2"/>
          </rPr>
          <t>&lt;[[TCDeals] - [TC Property Current Stage (Seq: 1)] Total Rental Units - Send]&gt;</t>
        </r>
      </text>
    </comment>
    <comment ref="AD44" authorId="1" shapeId="0" xr:uid="{CC38BB5A-218D-4831-9763-3250A7674F13}">
      <text>
        <r>
          <rPr>
            <b/>
            <sz val="9"/>
            <color indexed="81"/>
            <rFont val="Tahoma"/>
            <family val="2"/>
          </rPr>
          <t>&lt;[[TCDeals] - [TC Property Current Stage (Seq: 1)] - [TC Unit Detail (Seq: 1)] Rent Percentage - Send]&gt;</t>
        </r>
      </text>
    </comment>
    <comment ref="AE44" authorId="1" shapeId="0" xr:uid="{40A2337A-12B4-4CEA-8AD9-A3AE0B1C2216}">
      <text>
        <r>
          <rPr>
            <b/>
            <sz val="9"/>
            <color indexed="81"/>
            <rFont val="Tahoma"/>
            <family val="2"/>
          </rPr>
          <t>&lt;[[TCDeals] - [TC Property Current Stage (Seq: 1)] - [TC Unit Detail (Seq: 2)] Rent Percentage - Send]&gt;</t>
        </r>
      </text>
    </comment>
    <comment ref="AF44" authorId="1" shapeId="0" xr:uid="{04E8B2A3-F724-4203-BB0A-F8DC1ED2D5F9}">
      <text>
        <r>
          <rPr>
            <b/>
            <sz val="9"/>
            <color indexed="81"/>
            <rFont val="Tahoma"/>
            <family val="2"/>
          </rPr>
          <t>&lt;[[TCDeals] - [TC Property Current Stage (Seq: 1)] - [TC Unit Detail (Seq: 3)] Rent Percentage - Send]&gt;</t>
        </r>
      </text>
    </comment>
    <comment ref="X46" authorId="1" shapeId="0" xr:uid="{0B958670-63C9-487D-B984-F96D656CABD9}">
      <text>
        <r>
          <rPr>
            <b/>
            <sz val="9"/>
            <color indexed="81"/>
            <rFont val="Tahoma"/>
            <family val="2"/>
          </rPr>
          <t>&lt;[[TCDeals] - [TC Property Current Stage (Seq: 1)] - [TC Unit Detail (Seq: 4)] Income Units - Send]&gt;</t>
        </r>
      </text>
    </comment>
    <comment ref="AD46" authorId="1" shapeId="0" xr:uid="{05539153-81D0-49A2-8932-032D8D720EAF}">
      <text>
        <r>
          <rPr>
            <b/>
            <sz val="9"/>
            <color indexed="81"/>
            <rFont val="Tahoma"/>
            <family val="2"/>
          </rPr>
          <t>&lt;[[TCDeals] - [TC Property Current Stage (Seq: 1)] - [TC Unit Detail (Seq: 1)] Income Units - Send]&gt;</t>
        </r>
      </text>
    </comment>
    <comment ref="AE46" authorId="1" shapeId="0" xr:uid="{9CAA1089-C70A-422F-A15A-96A62FCB311B}">
      <text>
        <r>
          <rPr>
            <b/>
            <sz val="9"/>
            <color indexed="81"/>
            <rFont val="Tahoma"/>
            <family val="2"/>
          </rPr>
          <t>&lt;[[TCDeals] - [TC Property Current Stage (Seq: 1)] - [TC Unit Detail (Seq: 2)] Income Units - Send]&gt;</t>
        </r>
      </text>
    </comment>
    <comment ref="AF46" authorId="1" shapeId="0" xr:uid="{874059E2-BE7E-41C0-A542-2C13F372DD3D}">
      <text>
        <r>
          <rPr>
            <b/>
            <sz val="9"/>
            <color indexed="81"/>
            <rFont val="Tahoma"/>
            <family val="2"/>
          </rPr>
          <t>&lt;[[TCDeals] - [TC Property Current Stage (Seq: 1)] - [TC Unit Detail (Seq: 3)] Income Units - Send]&gt;</t>
        </r>
      </text>
    </comment>
    <comment ref="AH46" authorId="0" shapeId="0" xr:uid="{00000000-0006-0000-0500-0000C7000000}">
      <text>
        <r>
          <rPr>
            <b/>
            <sz val="8"/>
            <color indexed="81"/>
            <rFont val="Tahoma"/>
            <family val="2"/>
          </rPr>
          <t>&lt;[[TCDeals] - [TC Property Current Stage (Seq: 1)] - [Units (Seq: 1)] Total Rental Units - Send]&gt;</t>
        </r>
      </text>
    </comment>
    <comment ref="AI46" authorId="0" shapeId="0" xr:uid="{00000000-0006-0000-0500-0000C8000000}">
      <text>
        <r>
          <rPr>
            <b/>
            <sz val="8"/>
            <color indexed="81"/>
            <rFont val="Tahoma"/>
            <family val="2"/>
          </rPr>
          <t>&lt;[[TCDeals] - [TC Property Current Stage (Seq: 1)] - [Units (Seq: 2)] Total Rental Units - Send]&gt;</t>
        </r>
      </text>
    </comment>
    <comment ref="AJ46" authorId="0" shapeId="0" xr:uid="{00000000-0006-0000-0500-0000C9000000}">
      <text>
        <r>
          <rPr>
            <b/>
            <sz val="8"/>
            <color indexed="81"/>
            <rFont val="Tahoma"/>
            <family val="2"/>
          </rPr>
          <t>&lt;[[TCDeals] - [TC Property Current Stage (Seq: 1)] - [Units (Seq: 3)] Total Rental Units - Send]&gt;</t>
        </r>
      </text>
    </comment>
    <comment ref="AK46" authorId="0" shapeId="0" xr:uid="{00000000-0006-0000-0500-0000CA000000}">
      <text>
        <r>
          <rPr>
            <b/>
            <sz val="8"/>
            <color indexed="81"/>
            <rFont val="Tahoma"/>
            <family val="2"/>
          </rPr>
          <t>&lt;[[TCDeals] - [TC Property Current Stage (Seq: 1)] - [Units (Seq: 4)] Total Rental Units - Send]&gt;</t>
        </r>
      </text>
    </comment>
    <comment ref="AL46" authorId="0" shapeId="0" xr:uid="{00000000-0006-0000-0500-0000CB000000}">
      <text>
        <r>
          <rPr>
            <b/>
            <sz val="8"/>
            <color indexed="81"/>
            <rFont val="Tahoma"/>
            <family val="2"/>
          </rPr>
          <t>&lt;[[TCDeals] - [TC Property Current Stage (Seq: 1)] - [Units (Seq: 5)] Total Rental Units - Send]&gt;</t>
        </r>
      </text>
    </comment>
    <comment ref="AT46" authorId="0" shapeId="0" xr:uid="{00000000-0006-0000-0500-0000CC000000}">
      <text>
        <r>
          <rPr>
            <b/>
            <sz val="8"/>
            <color indexed="81"/>
            <rFont val="Tahoma"/>
            <family val="2"/>
          </rPr>
          <t>&lt;[[TCDeals] - [TC Property Current Stage (Seq: 1)] - [Units (Seq: 1)] Average Sq Feet - Send]&gt;</t>
        </r>
      </text>
    </comment>
    <comment ref="AU46" authorId="0" shapeId="0" xr:uid="{00000000-0006-0000-0500-0000CD000000}">
      <text>
        <r>
          <rPr>
            <b/>
            <sz val="8"/>
            <color indexed="81"/>
            <rFont val="Tahoma"/>
            <family val="2"/>
          </rPr>
          <t>&lt;[[TCDeals] - [TC Property Current Stage (Seq: 1)] - [Units (Seq: 1)] Average Sq Feet - Send]&gt;</t>
        </r>
      </text>
    </comment>
    <comment ref="AV46" authorId="0" shapeId="0" xr:uid="{00000000-0006-0000-0500-0000CE000000}">
      <text>
        <r>
          <rPr>
            <b/>
            <sz val="8"/>
            <color indexed="81"/>
            <rFont val="Tahoma"/>
            <family val="2"/>
          </rPr>
          <t>&lt;[[TCDeals] - [TC Property Current Stage (Seq: 1)] - [Units (Seq: 1)] Average Sq Feet - Send]&gt;</t>
        </r>
      </text>
    </comment>
    <comment ref="AW46" authorId="0" shapeId="0" xr:uid="{00000000-0006-0000-0500-0000CF000000}">
      <text>
        <r>
          <rPr>
            <b/>
            <sz val="8"/>
            <color indexed="81"/>
            <rFont val="Tahoma"/>
            <family val="2"/>
          </rPr>
          <t>&lt;[[TCDeals] - [TC Property Current Stage (Seq: 1)] - [Units (Seq: 1)] Average Sq Feet - Send]&gt;</t>
        </r>
      </text>
    </comment>
    <comment ref="AX46" authorId="0" shapeId="0" xr:uid="{00000000-0006-0000-0500-0000D0000000}">
      <text>
        <r>
          <rPr>
            <b/>
            <sz val="8"/>
            <color indexed="81"/>
            <rFont val="Tahoma"/>
            <family val="2"/>
          </rPr>
          <t>&lt;[[TCDeals] - [TC Property Current Stage (Seq: 1)] - [Units (Seq: 1)] Average Sq Feet - Send]&gt;</t>
        </r>
      </text>
    </comment>
    <comment ref="X48" authorId="1" shapeId="0" xr:uid="{2B2F4230-E48C-4FA2-9EE0-1F9F8D1D44FF}">
      <text>
        <r>
          <rPr>
            <b/>
            <sz val="9"/>
            <color indexed="81"/>
            <rFont val="Tahoma"/>
            <family val="2"/>
          </rPr>
          <t>&lt;[[TCDeals] - [TC Property Current Stage (Seq: 1)] - [TC Unit Detail (Seq: 4)] Income Percentage - Send]&gt;</t>
        </r>
      </text>
    </comment>
    <comment ref="AD48" authorId="1" shapeId="0" xr:uid="{CCDD66C7-2AF6-441F-A5B0-082AC76ED18F}">
      <text>
        <r>
          <rPr>
            <b/>
            <sz val="9"/>
            <color indexed="81"/>
            <rFont val="Tahoma"/>
            <family val="2"/>
          </rPr>
          <t>&lt;[[TCDeals] - [TC Property Current Stage (Seq: 1)] - [TC Unit Detail (Seq: 1)] Income Percentage - Send]&gt;</t>
        </r>
      </text>
    </comment>
    <comment ref="AE48" authorId="1" shapeId="0" xr:uid="{FBACFB3D-0B8C-49F6-9C21-1BC03A176C01}">
      <text>
        <r>
          <rPr>
            <b/>
            <sz val="9"/>
            <color indexed="81"/>
            <rFont val="Tahoma"/>
            <family val="2"/>
          </rPr>
          <t>&lt;[[TCDeals] - [TC Property Current Stage (Seq: 1)] - [TC Unit Detail (Seq: 2)] Income Percentage - Send]&gt;</t>
        </r>
      </text>
    </comment>
    <comment ref="AF48" authorId="1" shapeId="0" xr:uid="{13A6B6B5-8933-4FF9-A0EA-7643313D47A6}">
      <text>
        <r>
          <rPr>
            <b/>
            <sz val="9"/>
            <color indexed="81"/>
            <rFont val="Tahoma"/>
            <family val="2"/>
          </rPr>
          <t>&lt;[[TCDeals] - [TC Property Current Stage (Seq: 1)] - [TC Unit Detail (Seq: 3)] Income Percentage - Send]&gt;</t>
        </r>
      </text>
    </comment>
    <comment ref="U50" authorId="0" shapeId="0" xr:uid="{00000000-0006-0000-0500-0000D1000000}">
      <text>
        <r>
          <rPr>
            <b/>
            <sz val="8"/>
            <color indexed="81"/>
            <rFont val="Tahoma"/>
            <family val="2"/>
          </rPr>
          <t>&lt;[[TCDeals] - [TC Property Current Stage (Seq: 1)] TC Net Rentable SF - Send]&gt;</t>
        </r>
      </text>
    </comment>
    <comment ref="X50" authorId="1" shapeId="0" xr:uid="{BFBDE22B-6CC8-44FC-8DDD-BEF72413AA62}">
      <text>
        <r>
          <rPr>
            <b/>
            <sz val="9"/>
            <color indexed="81"/>
            <rFont val="Tahoma"/>
            <family val="2"/>
          </rPr>
          <t>&lt;[[TCDeals] - [TC Property Current Stage (Seq: 1)] - [TC Unit Detail (Seq: 4)] Issuing Authority - Send]&gt;</t>
        </r>
      </text>
    </comment>
    <comment ref="AD50" authorId="1" shapeId="0" xr:uid="{E52D8478-C2BB-4B7C-BAFB-FA5F82BA78E5}">
      <text>
        <r>
          <rPr>
            <b/>
            <sz val="9"/>
            <color indexed="81"/>
            <rFont val="Tahoma"/>
            <family val="2"/>
          </rPr>
          <t>&lt;[[TCDeals] - [TC Property Current Stage (Seq: 1)] - [TC Unit Detail (Seq: 1)] Issuing Authority - Send]&gt;</t>
        </r>
      </text>
    </comment>
    <comment ref="AE50" authorId="1" shapeId="0" xr:uid="{916B4D95-40A0-488E-B6A0-6800DDB50998}">
      <text>
        <r>
          <rPr>
            <b/>
            <sz val="9"/>
            <color indexed="81"/>
            <rFont val="Tahoma"/>
            <family val="2"/>
          </rPr>
          <t>&lt;[[TCDeals] - [TC Property Current Stage (Seq: 1)] - [TC Unit Detail (Seq: 2)] Issuing Authority - Send]&gt;</t>
        </r>
      </text>
    </comment>
    <comment ref="AF50" authorId="1" shapeId="0" xr:uid="{CF49FD2E-BB23-4929-9820-C9F28D3B8FF8}">
      <text>
        <r>
          <rPr>
            <b/>
            <sz val="9"/>
            <color indexed="81"/>
            <rFont val="Tahoma"/>
            <family val="2"/>
          </rPr>
          <t>&lt;[[TCDeals] - [TC Property Current Stage (Seq: 1)] - [TC Unit Detail (Seq: 3)] Issuing Authority - Send]&gt;</t>
        </r>
      </text>
    </comment>
    <comment ref="U59" authorId="0" shapeId="0" xr:uid="{00000000-0006-0000-0500-0000D2000000}">
      <text>
        <r>
          <rPr>
            <b/>
            <sz val="8"/>
            <color indexed="81"/>
            <rFont val="Tahoma"/>
            <family val="2"/>
          </rPr>
          <t>&lt;[[TCDeals] - [TC Property Current Stage (Seq: 1)] Floor Space Fraction - Send]&gt;</t>
        </r>
      </text>
    </comment>
    <comment ref="S61" authorId="0" shapeId="0" xr:uid="{00000000-0006-0000-0500-0000D3000000}">
      <text>
        <r>
          <rPr>
            <b/>
            <sz val="8"/>
            <color indexed="81"/>
            <rFont val="Tahoma"/>
            <family val="2"/>
          </rPr>
          <t>&lt;[[TCDeals] - [TC Property Current Stage (Seq: 1)] - [Actual Property Costs (Seq: 1)] Applicable Fraction - Send]&gt;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T12" authorId="0" shapeId="0" xr:uid="{00000000-0006-0000-0600-000001000000}">
      <text>
        <r>
          <rPr>
            <b/>
            <sz val="9"/>
            <color indexed="81"/>
            <rFont val="Tahoma"/>
            <family val="2"/>
          </rPr>
          <t>&lt;[[TCDeals] - [TC Property Current Stage (Seq: 1)] - [Buildings (Seq: 1)] Num TC Units - Send]&gt;</t>
        </r>
      </text>
    </comment>
    <comment ref="V12" authorId="0" shapeId="0" xr:uid="{00000000-0006-0000-0600-000002000000}">
      <text>
        <r>
          <rPr>
            <b/>
            <sz val="9"/>
            <color indexed="81"/>
            <rFont val="Tahoma"/>
            <family val="2"/>
          </rPr>
          <t>&lt;[[TCDeals] - [TC Property Current Stage (Seq: 1)] - [Buildings (Seq: 1)] Num Mkt Units - Send]&gt;</t>
        </r>
      </text>
    </comment>
    <comment ref="T14" authorId="0" shapeId="0" xr:uid="{00000000-0006-0000-0600-000003000000}">
      <text>
        <r>
          <rPr>
            <b/>
            <sz val="9"/>
            <color indexed="81"/>
            <rFont val="Tahoma"/>
            <family val="2"/>
          </rPr>
          <t>&lt;[[TCDeals] - [TC Property Current Stage (Seq: 1)] - [Buildings (Seq: 2)] Num TC Units - Send]&gt;</t>
        </r>
      </text>
    </comment>
    <comment ref="V14" authorId="0" shapeId="0" xr:uid="{00000000-0006-0000-0600-000004000000}">
      <text>
        <r>
          <rPr>
            <b/>
            <sz val="9"/>
            <color indexed="81"/>
            <rFont val="Tahoma"/>
            <family val="2"/>
          </rPr>
          <t>&lt;[[TCDeals] - [TC Property Current Stage (Seq: 1)] - [Buildings (Seq: 2)] Num Mkt Units - Send]&gt;</t>
        </r>
      </text>
    </comment>
    <comment ref="T16" authorId="0" shapeId="0" xr:uid="{00000000-0006-0000-0600-000005000000}">
      <text>
        <r>
          <rPr>
            <b/>
            <sz val="9"/>
            <color indexed="81"/>
            <rFont val="Tahoma"/>
            <family val="2"/>
          </rPr>
          <t>&lt;[[TCDeals] - [TC Property Current Stage (Seq: 1)] - [Buildings (Seq: 3)] Num TC Units - Send]&gt;</t>
        </r>
      </text>
    </comment>
    <comment ref="V16" authorId="0" shapeId="0" xr:uid="{00000000-0006-0000-0600-000006000000}">
      <text>
        <r>
          <rPr>
            <b/>
            <sz val="9"/>
            <color indexed="81"/>
            <rFont val="Tahoma"/>
            <family val="2"/>
          </rPr>
          <t>&lt;[[TCDeals] - [TC Property Current Stage (Seq: 1)] - [Buildings (Seq: 3)] Num Mkt Units - Send]&gt;</t>
        </r>
      </text>
    </comment>
    <comment ref="T18" authorId="0" shapeId="0" xr:uid="{00000000-0006-0000-0600-000007000000}">
      <text>
        <r>
          <rPr>
            <b/>
            <sz val="9"/>
            <color indexed="81"/>
            <rFont val="Tahoma"/>
            <family val="2"/>
          </rPr>
          <t>&lt;[[TCDeals] - [TC Property Current Stage (Seq: 1)] - [Buildings (Seq: 4)] Num TC Units - Send]&gt;</t>
        </r>
      </text>
    </comment>
    <comment ref="V18" authorId="0" shapeId="0" xr:uid="{00000000-0006-0000-0600-000008000000}">
      <text>
        <r>
          <rPr>
            <b/>
            <sz val="9"/>
            <color indexed="81"/>
            <rFont val="Tahoma"/>
            <family val="2"/>
          </rPr>
          <t>&lt;[[TCDeals] - [TC Property Current Stage (Seq: 1)] - [Buildings (Seq: 4)] Num Mkt Units - Send]&gt;</t>
        </r>
      </text>
    </comment>
    <comment ref="T20" authorId="0" shapeId="0" xr:uid="{00000000-0006-0000-0600-000009000000}">
      <text>
        <r>
          <rPr>
            <b/>
            <sz val="9"/>
            <color indexed="81"/>
            <rFont val="Tahoma"/>
            <family val="2"/>
          </rPr>
          <t>&lt;[[TCDeals] - [TC Property Current Stage (Seq: 1)] - [Buildings (Seq: 5)] Num TC Units - Send]&gt;</t>
        </r>
      </text>
    </comment>
    <comment ref="V20" authorId="0" shapeId="0" xr:uid="{00000000-0006-0000-0600-00000A000000}">
      <text>
        <r>
          <rPr>
            <b/>
            <sz val="9"/>
            <color indexed="81"/>
            <rFont val="Tahoma"/>
            <family val="2"/>
          </rPr>
          <t>&lt;[[TCDeals] - [TC Property Current Stage (Seq: 1)] - [Buildings (Seq: 5)] Num Mkt Units - Send]&gt;</t>
        </r>
      </text>
    </comment>
    <comment ref="T22" authorId="0" shapeId="0" xr:uid="{00000000-0006-0000-0600-00000B000000}">
      <text>
        <r>
          <rPr>
            <b/>
            <sz val="9"/>
            <color indexed="81"/>
            <rFont val="Tahoma"/>
            <family val="2"/>
          </rPr>
          <t>&lt;[[TCDeals] - [TC Property Current Stage (Seq: 1)] - [Buildings (Seq: 6)] Num TC Units - Send]&gt;</t>
        </r>
      </text>
    </comment>
    <comment ref="V22" authorId="0" shapeId="0" xr:uid="{00000000-0006-0000-0600-00000C000000}">
      <text>
        <r>
          <rPr>
            <b/>
            <sz val="9"/>
            <color indexed="81"/>
            <rFont val="Tahoma"/>
            <family val="2"/>
          </rPr>
          <t>&lt;[[TCDeals] - [TC Property Current Stage (Seq: 1)] - [Buildings (Seq: 6)] Num Mkt Units - Send]&gt;</t>
        </r>
      </text>
    </comment>
    <comment ref="T24" authorId="0" shapeId="0" xr:uid="{00000000-0006-0000-0600-00000D000000}">
      <text>
        <r>
          <rPr>
            <b/>
            <sz val="9"/>
            <color indexed="81"/>
            <rFont val="Tahoma"/>
            <family val="2"/>
          </rPr>
          <t>&lt;[[TCDeals] - [TC Property Current Stage (Seq: 1)] - [Buildings (Seq: 7)] Num TC Units - Send]&gt;</t>
        </r>
      </text>
    </comment>
    <comment ref="V24" authorId="0" shapeId="0" xr:uid="{00000000-0006-0000-0600-00000E000000}">
      <text>
        <r>
          <rPr>
            <b/>
            <sz val="9"/>
            <color indexed="81"/>
            <rFont val="Tahoma"/>
            <family val="2"/>
          </rPr>
          <t>&lt;[[TCDeals] - [TC Property Current Stage (Seq: 1)] - [Buildings (Seq: 7)] Num Mkt Units - Send]&gt;</t>
        </r>
      </text>
    </comment>
    <comment ref="T26" authorId="0" shapeId="0" xr:uid="{00000000-0006-0000-0600-00000F000000}">
      <text>
        <r>
          <rPr>
            <b/>
            <sz val="9"/>
            <color indexed="81"/>
            <rFont val="Tahoma"/>
            <family val="2"/>
          </rPr>
          <t>&lt;[[TCDeals] - [TC Property Current Stage (Seq: 1)] - [Buildings (Seq: 8)] Num TC Units - Send]&gt;</t>
        </r>
      </text>
    </comment>
    <comment ref="V26" authorId="0" shapeId="0" xr:uid="{00000000-0006-0000-0600-000010000000}">
      <text>
        <r>
          <rPr>
            <b/>
            <sz val="9"/>
            <color indexed="81"/>
            <rFont val="Tahoma"/>
            <family val="2"/>
          </rPr>
          <t>&lt;[[TCDeals] - [TC Property Current Stage (Seq: 1)] - [Buildings (Seq: 8)] Num Mkt Units - Send]&gt;</t>
        </r>
      </text>
    </comment>
    <comment ref="T28" authorId="0" shapeId="0" xr:uid="{00000000-0006-0000-0600-000011000000}">
      <text>
        <r>
          <rPr>
            <b/>
            <sz val="9"/>
            <color indexed="81"/>
            <rFont val="Tahoma"/>
            <family val="2"/>
          </rPr>
          <t>&lt;[[TCDeals] - [TC Property Current Stage (Seq: 1)] - [Buildings (Seq: 9)] Num TC Units - Send]&gt;</t>
        </r>
      </text>
    </comment>
    <comment ref="V28" authorId="0" shapeId="0" xr:uid="{00000000-0006-0000-0600-000012000000}">
      <text>
        <r>
          <rPr>
            <b/>
            <sz val="9"/>
            <color indexed="81"/>
            <rFont val="Tahoma"/>
            <family val="2"/>
          </rPr>
          <t>&lt;[[TCDeals] - [TC Property Current Stage (Seq: 1)] - [Buildings (Seq: 9)] Num Mkt Units - Send]&gt;</t>
        </r>
      </text>
    </comment>
    <comment ref="T30" authorId="0" shapeId="0" xr:uid="{00000000-0006-0000-0600-000013000000}">
      <text>
        <r>
          <rPr>
            <b/>
            <sz val="9"/>
            <color indexed="81"/>
            <rFont val="Tahoma"/>
            <family val="2"/>
          </rPr>
          <t>&lt;[[TCDeals] - [TC Property Current Stage (Seq: 1)] - [Buildings (Seq: 10)] Num TC Units - Send]&gt;</t>
        </r>
      </text>
    </comment>
    <comment ref="V30" authorId="0" shapeId="0" xr:uid="{00000000-0006-0000-0600-000014000000}">
      <text>
        <r>
          <rPr>
            <b/>
            <sz val="9"/>
            <color indexed="81"/>
            <rFont val="Tahoma"/>
            <family val="2"/>
          </rPr>
          <t>&lt;[[TCDeals] - [TC Property Current Stage (Seq: 1)] - [Buildings (Seq: 10)] Num Mkt Units - Send]&gt;</t>
        </r>
      </text>
    </comment>
    <comment ref="T32" authorId="0" shapeId="0" xr:uid="{00000000-0006-0000-0600-000015000000}">
      <text>
        <r>
          <rPr>
            <b/>
            <sz val="9"/>
            <color indexed="81"/>
            <rFont val="Tahoma"/>
            <family val="2"/>
          </rPr>
          <t>&lt;[[TCDeals] - [TC Property Current Stage (Seq: 1)] - [Buildings (Seq: 11)] Num TC Units - Send]&gt;</t>
        </r>
      </text>
    </comment>
    <comment ref="V32" authorId="0" shapeId="0" xr:uid="{00000000-0006-0000-0600-000016000000}">
      <text>
        <r>
          <rPr>
            <b/>
            <sz val="9"/>
            <color indexed="81"/>
            <rFont val="Tahoma"/>
            <family val="2"/>
          </rPr>
          <t>&lt;[[TCDeals] - [TC Property Current Stage (Seq: 1)] - [Buildings (Seq: 11)] Num Mkt Units - Send]&gt;</t>
        </r>
      </text>
    </comment>
    <comment ref="T34" authorId="0" shapeId="0" xr:uid="{00000000-0006-0000-0600-000017000000}">
      <text>
        <r>
          <rPr>
            <b/>
            <sz val="9"/>
            <color indexed="81"/>
            <rFont val="Tahoma"/>
            <family val="2"/>
          </rPr>
          <t>&lt;[[TCDeals] - [TC Property Current Stage (Seq: 1)] - [Buildings (Seq: 12)] Num TC Units - Send]&gt;</t>
        </r>
      </text>
    </comment>
    <comment ref="V34" authorId="0" shapeId="0" xr:uid="{00000000-0006-0000-0600-000018000000}">
      <text>
        <r>
          <rPr>
            <b/>
            <sz val="9"/>
            <color indexed="81"/>
            <rFont val="Tahoma"/>
            <family val="2"/>
          </rPr>
          <t>&lt;[[TCDeals] - [TC Property Current Stage (Seq: 1)] - [Buildings (Seq: 12)] Num Mkt Units - Send]&gt;</t>
        </r>
      </text>
    </comment>
    <comment ref="T36" authorId="0" shapeId="0" xr:uid="{00000000-0006-0000-0600-000019000000}">
      <text>
        <r>
          <rPr>
            <b/>
            <sz val="9"/>
            <color indexed="81"/>
            <rFont val="Tahoma"/>
            <family val="2"/>
          </rPr>
          <t>&lt;[[TCDeals] - [TC Property Current Stage (Seq: 1)] - [Buildings (Seq: 13)] Num TC Units - Send]&gt;</t>
        </r>
      </text>
    </comment>
    <comment ref="V36" authorId="0" shapeId="0" xr:uid="{00000000-0006-0000-0600-00001A000000}">
      <text>
        <r>
          <rPr>
            <b/>
            <sz val="9"/>
            <color indexed="81"/>
            <rFont val="Tahoma"/>
            <family val="2"/>
          </rPr>
          <t>&lt;[[TCDeals] - [TC Property Current Stage (Seq: 1)] - [Buildings (Seq: 13)] Num Mkt Units - Send]&gt;</t>
        </r>
      </text>
    </comment>
    <comment ref="T38" authorId="0" shapeId="0" xr:uid="{00000000-0006-0000-0600-00001B000000}">
      <text>
        <r>
          <rPr>
            <b/>
            <sz val="9"/>
            <color indexed="81"/>
            <rFont val="Tahoma"/>
            <family val="2"/>
          </rPr>
          <t>&lt;[[TCDeals] - [TC Property Current Stage (Seq: 1)] - [Buildings (Seq: 14)] Num TC Units - Send]&gt;</t>
        </r>
      </text>
    </comment>
    <comment ref="V38" authorId="0" shapeId="0" xr:uid="{00000000-0006-0000-0600-00001C000000}">
      <text>
        <r>
          <rPr>
            <b/>
            <sz val="9"/>
            <color indexed="81"/>
            <rFont val="Tahoma"/>
            <family val="2"/>
          </rPr>
          <t>&lt;[[TCDeals] - [TC Property Current Stage (Seq: 1)] - [Buildings (Seq: 14)] Num Mkt Units - Send]&gt;</t>
        </r>
      </text>
    </comment>
    <comment ref="T40" authorId="0" shapeId="0" xr:uid="{00000000-0006-0000-0600-00001D000000}">
      <text>
        <r>
          <rPr>
            <b/>
            <sz val="9"/>
            <color indexed="81"/>
            <rFont val="Tahoma"/>
            <family val="2"/>
          </rPr>
          <t>&lt;[[TCDeals] - [TC Property Current Stage (Seq: 1)] - [Buildings (Seq: 15)] Num TC Units - Send]&gt;</t>
        </r>
      </text>
    </comment>
    <comment ref="V40" authorId="0" shapeId="0" xr:uid="{00000000-0006-0000-0600-00001E000000}">
      <text>
        <r>
          <rPr>
            <b/>
            <sz val="9"/>
            <color indexed="81"/>
            <rFont val="Tahoma"/>
            <family val="2"/>
          </rPr>
          <t>&lt;[[TCDeals] - [TC Property Current Stage (Seq: 1)] - [Buildings (Seq: 15)] Num Mkt Units - Send]&gt;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11" authorId="0" shapeId="0" xr:uid="{00000000-0006-0000-0700-000001000000}">
      <text>
        <r>
          <rPr>
            <b/>
            <sz val="9"/>
            <color indexed="81"/>
            <rFont val="Tahoma"/>
            <family val="2"/>
          </rPr>
          <t>&lt;[[TCDeals] - [TC Property Current Stage (Seq: 1)] - [Actual Property Costs (Seq: 1)] Land Acq Cost - Send]&gt;</t>
        </r>
      </text>
    </comment>
    <comment ref="Q12" authorId="0" shapeId="0" xr:uid="{00000000-0006-0000-0700-000002000000}">
      <text>
        <r>
          <rPr>
            <b/>
            <sz val="9"/>
            <color indexed="81"/>
            <rFont val="Tahoma"/>
            <family val="2"/>
          </rPr>
          <t>&lt;[[TCDeals] - [TC Property Current Stage (Seq: 1)] - [Actual Property Costs (Seq: 1)] Existing Improvements Cost - Send]&gt;</t>
        </r>
      </text>
    </comment>
    <comment ref="U12" authorId="0" shapeId="0" xr:uid="{00000000-0006-0000-0700-000003000000}">
      <text>
        <r>
          <rPr>
            <b/>
            <sz val="9"/>
            <color indexed="81"/>
            <rFont val="Tahoma"/>
            <family val="2"/>
          </rPr>
          <t>&lt;[[TCDeals] - [TC Property Current Stage (Seq: 1)] - [Acquisition Property Costs (Seq: 1)] Existing Improvements Cost - Send]&gt;</t>
        </r>
      </text>
    </comment>
    <comment ref="Q13" authorId="0" shapeId="0" xr:uid="{00000000-0006-0000-0700-000004000000}">
      <text>
        <r>
          <rPr>
            <b/>
            <sz val="9"/>
            <color indexed="81"/>
            <rFont val="Tahoma"/>
            <family val="2"/>
          </rPr>
          <t>&lt;[[TCDeals] - [TC Property Current Stage (Seq: 1)] - [Actual Property Costs (Seq: 1)] Demolition - Send]&gt;</t>
        </r>
      </text>
    </comment>
    <comment ref="Q14" authorId="0" shapeId="0" xr:uid="{00000000-0006-0000-0700-000005000000}">
      <text>
        <r>
          <rPr>
            <b/>
            <sz val="9"/>
            <color indexed="81"/>
            <rFont val="Tahoma"/>
            <family val="2"/>
          </rPr>
          <t>&lt;[[TCDeals] - [TC Property Current Stage (Seq: 1)] - [Actual Property Costs (Seq: 1)] Other Costs - Send]&gt;</t>
        </r>
      </text>
    </comment>
    <comment ref="S14" authorId="0" shapeId="0" xr:uid="{00000000-0006-0000-0700-000006000000}">
      <text>
        <r>
          <rPr>
            <b/>
            <sz val="9"/>
            <color indexed="81"/>
            <rFont val="Tahoma"/>
            <family val="2"/>
          </rPr>
          <t>&lt;[[TCDeals] - [TC Property Current Stage (Seq: 1)] - [PVC Property Costs (Seq: 1)] Other Costs - Send]&gt;</t>
        </r>
      </text>
    </comment>
    <comment ref="U14" authorId="0" shapeId="0" xr:uid="{00000000-0006-0000-0700-000007000000}">
      <text>
        <r>
          <rPr>
            <b/>
            <sz val="9"/>
            <color indexed="81"/>
            <rFont val="Tahoma"/>
            <family val="2"/>
          </rPr>
          <t>&lt;[[TCDeals] - [TC Property Current Stage (Seq: 1)] - [Acquisition Property Costs (Seq: 1)] Other Costs - Send]&gt;</t>
        </r>
      </text>
    </comment>
    <comment ref="Q15" authorId="0" shapeId="0" xr:uid="{00000000-0006-0000-0700-000008000000}">
      <text>
        <r>
          <rPr>
            <b/>
            <sz val="9"/>
            <color indexed="81"/>
            <rFont val="Tahoma"/>
            <family val="2"/>
          </rPr>
          <t>&lt;[[TCDeals] - [TC Property Current Stage (Seq: 1)] - [Actual Property Costs (Seq: 1)] Site Work - Send]&gt;</t>
        </r>
      </text>
    </comment>
    <comment ref="S15" authorId="0" shapeId="0" xr:uid="{00000000-0006-0000-0700-000009000000}">
      <text>
        <r>
          <rPr>
            <b/>
            <sz val="9"/>
            <color indexed="81"/>
            <rFont val="Tahoma"/>
            <family val="2"/>
          </rPr>
          <t>&lt;[[TCDeals] - [TC Property Current Stage (Seq: 1)] - [PVC Property Costs (Seq: 1)] Site Work - Send]&gt;</t>
        </r>
      </text>
    </comment>
    <comment ref="U15" authorId="0" shapeId="0" xr:uid="{00000000-0006-0000-0700-00000A000000}">
      <text>
        <r>
          <rPr>
            <b/>
            <sz val="9"/>
            <color indexed="81"/>
            <rFont val="Tahoma"/>
            <family val="2"/>
          </rPr>
          <t>&lt;[[TCDeals] - [TC Property Current Stage (Seq: 1)] - [Acquisition Property Costs (Seq: 1)] Site Work - Send]&gt;</t>
        </r>
      </text>
    </comment>
    <comment ref="Q16" authorId="0" shapeId="0" xr:uid="{00000000-0006-0000-0700-00000B000000}">
      <text>
        <r>
          <rPr>
            <b/>
            <sz val="9"/>
            <color indexed="81"/>
            <rFont val="Tahoma"/>
            <family val="2"/>
          </rPr>
          <t>&lt;[[TCDeals] - [TC Property Current Stage (Seq: 1)] - [Actual Property Costs (Seq: 1)] Off Site Improvements - Send]&gt;</t>
        </r>
      </text>
    </comment>
    <comment ref="S16" authorId="0" shapeId="0" xr:uid="{00000000-0006-0000-0700-00000C000000}">
      <text>
        <r>
          <rPr>
            <b/>
            <sz val="9"/>
            <color indexed="81"/>
            <rFont val="Tahoma"/>
            <family val="2"/>
          </rPr>
          <t>&lt;[[TCDeals] - [TC Property Current Stage (Seq: 1)] - [PVC Property Costs (Seq: 1)] Off Site Improvements - Send]&gt;</t>
        </r>
      </text>
    </comment>
    <comment ref="U16" authorId="0" shapeId="0" xr:uid="{00000000-0006-0000-0700-00000D000000}">
      <text>
        <r>
          <rPr>
            <b/>
            <sz val="9"/>
            <color indexed="81"/>
            <rFont val="Tahoma"/>
            <family val="2"/>
          </rPr>
          <t>&lt;[[TCDeals] - [TC Property Current Stage (Seq: 1)] - [Acquisition Property Costs (Seq: 1)] Off Site Improvements - Send]&gt;</t>
        </r>
      </text>
    </comment>
    <comment ref="Q17" authorId="0" shapeId="0" xr:uid="{00000000-0006-0000-0700-00000E000000}">
      <text>
        <r>
          <rPr>
            <b/>
            <sz val="9"/>
            <color indexed="81"/>
            <rFont val="Tahoma"/>
            <family val="2"/>
          </rPr>
          <t>&lt;[[TCDeals] - [TC Property Current Stage (Seq: 1)] - [Actual Property Costs (Seq: 1)] Unit Structures New - Send]&gt;</t>
        </r>
      </text>
    </comment>
    <comment ref="S17" authorId="0" shapeId="0" xr:uid="{00000000-0006-0000-0700-00000F000000}">
      <text>
        <r>
          <rPr>
            <b/>
            <sz val="9"/>
            <color indexed="81"/>
            <rFont val="Tahoma"/>
            <family val="2"/>
          </rPr>
          <t>&lt;[[TCDeals] - [TC Property Current Stage (Seq: 1)] - [PVC Property Costs (Seq: 1)] Unit Structures New - Send]&gt;</t>
        </r>
      </text>
    </comment>
    <comment ref="U17" authorId="0" shapeId="0" xr:uid="{00000000-0006-0000-0700-000010000000}">
      <text>
        <r>
          <rPr>
            <b/>
            <sz val="9"/>
            <color indexed="81"/>
            <rFont val="Tahoma"/>
            <family val="2"/>
          </rPr>
          <t>&lt;[[TCDeals] - [TC Property Current Stage (Seq: 1)] - [Acquisition Property Costs (Seq: 1)] Unit Structures New - Send]&gt;</t>
        </r>
      </text>
    </comment>
    <comment ref="Q18" authorId="0" shapeId="0" xr:uid="{00000000-0006-0000-0700-000011000000}">
      <text>
        <r>
          <rPr>
            <b/>
            <sz val="9"/>
            <color indexed="81"/>
            <rFont val="Tahoma"/>
            <family val="2"/>
          </rPr>
          <t>&lt;[[TCDeals] - [TC Property Current Stage (Seq: 1)] - [Actual Property Costs (Seq: 1)] Unit Structures Rehab - Send]&gt;</t>
        </r>
      </text>
    </comment>
    <comment ref="S18" authorId="0" shapeId="0" xr:uid="{00000000-0006-0000-0700-000012000000}">
      <text>
        <r>
          <rPr>
            <b/>
            <sz val="9"/>
            <color indexed="81"/>
            <rFont val="Tahoma"/>
            <family val="2"/>
          </rPr>
          <t>&lt;[[TCDeals] - [TC Property Current Stage (Seq: 1)] - [PVC Property Costs (Seq: 1)] Unit Structures Rehab - Send]&gt;</t>
        </r>
      </text>
    </comment>
    <comment ref="U18" authorId="0" shapeId="0" xr:uid="{00000000-0006-0000-0700-000013000000}">
      <text>
        <r>
          <rPr>
            <b/>
            <sz val="9"/>
            <color indexed="81"/>
            <rFont val="Tahoma"/>
            <family val="2"/>
          </rPr>
          <t>&lt;[[TCDeals] - [TC Property Current Stage (Seq: 1)] - [Acquisition Property Costs (Seq: 1)] Unit Structures Rehab - Send]&gt;</t>
        </r>
      </text>
    </comment>
    <comment ref="Q19" authorId="0" shapeId="0" xr:uid="{00000000-0006-0000-0700-000014000000}">
      <text>
        <r>
          <rPr>
            <b/>
            <sz val="9"/>
            <color indexed="81"/>
            <rFont val="Tahoma"/>
            <family val="2"/>
          </rPr>
          <t>&lt;[[TCDeals] - [TC Property Current Stage (Seq: 1)] - [Actual Property Costs (Seq: 1)] Commercial Space Costs - Send]&gt;</t>
        </r>
      </text>
    </comment>
    <comment ref="Q20" authorId="0" shapeId="0" xr:uid="{00000000-0006-0000-0700-000015000000}">
      <text>
        <r>
          <rPr>
            <b/>
            <sz val="9"/>
            <color indexed="81"/>
            <rFont val="Tahoma"/>
            <family val="2"/>
          </rPr>
          <t>&lt;[[TCDeals] - [TC Property Current Stage (Seq: 1)] - [Actual Property Costs (Seq: 1)] General Requirements - Send]&gt;</t>
        </r>
      </text>
    </comment>
    <comment ref="S20" authorId="0" shapeId="0" xr:uid="{00000000-0006-0000-0700-000016000000}">
      <text>
        <r>
          <rPr>
            <b/>
            <sz val="9"/>
            <color indexed="81"/>
            <rFont val="Tahoma"/>
            <family val="2"/>
          </rPr>
          <t>&lt;[[TCDeals] - [TC Property Current Stage (Seq: 1)] - [PVC Property Costs (Seq: 1)] General Requirements - Send]&gt;</t>
        </r>
      </text>
    </comment>
    <comment ref="U20" authorId="0" shapeId="0" xr:uid="{00000000-0006-0000-0700-000017000000}">
      <text>
        <r>
          <rPr>
            <b/>
            <sz val="9"/>
            <color indexed="81"/>
            <rFont val="Tahoma"/>
            <family val="2"/>
          </rPr>
          <t>&lt;[[TCDeals] - [TC Property Current Stage (Seq: 1)] - [Acquisition Property Costs (Seq: 1)] General Requirements - Send]&gt;</t>
        </r>
      </text>
    </comment>
    <comment ref="Q21" authorId="0" shapeId="0" xr:uid="{00000000-0006-0000-0700-000018000000}">
      <text>
        <r>
          <rPr>
            <b/>
            <sz val="9"/>
            <color indexed="81"/>
            <rFont val="Tahoma"/>
            <family val="2"/>
          </rPr>
          <t>&lt;[[TCDeals] - [TC Property Current Stage (Seq: 1)] - [Actual Property Costs (Seq: 1)] Builders Overhead - Send]&gt;</t>
        </r>
      </text>
    </comment>
    <comment ref="S21" authorId="0" shapeId="0" xr:uid="{00000000-0006-0000-0700-000019000000}">
      <text>
        <r>
          <rPr>
            <b/>
            <sz val="9"/>
            <color indexed="81"/>
            <rFont val="Tahoma"/>
            <family val="2"/>
          </rPr>
          <t>&lt;[[TCDeals] - [TC Property Current Stage (Seq: 1)] - [PVC Property Costs (Seq: 1)] Builders Overhead - Send]&gt;</t>
        </r>
      </text>
    </comment>
    <comment ref="U21" authorId="0" shapeId="0" xr:uid="{00000000-0006-0000-0700-00001A000000}">
      <text>
        <r>
          <rPr>
            <b/>
            <sz val="9"/>
            <color indexed="81"/>
            <rFont val="Tahoma"/>
            <family val="2"/>
          </rPr>
          <t>&lt;[[TCDeals] - [TC Property Current Stage (Seq: 1)] - [Acquisition Property Costs (Seq: 1)] Builders Overhead - Send]&gt;</t>
        </r>
      </text>
    </comment>
    <comment ref="Q22" authorId="0" shapeId="0" xr:uid="{00000000-0006-0000-0700-00001B000000}">
      <text>
        <r>
          <rPr>
            <b/>
            <sz val="9"/>
            <color indexed="81"/>
            <rFont val="Tahoma"/>
            <family val="2"/>
          </rPr>
          <t>&lt;[[TCDeals] - [TC Property Current Stage (Seq: 1)] - [Actual Property Costs (Seq: 1)] Builders Profit - Send]&gt;</t>
        </r>
      </text>
    </comment>
    <comment ref="S22" authorId="0" shapeId="0" xr:uid="{00000000-0006-0000-0700-00001C000000}">
      <text>
        <r>
          <rPr>
            <b/>
            <sz val="9"/>
            <color indexed="81"/>
            <rFont val="Tahoma"/>
            <family val="2"/>
          </rPr>
          <t>&lt;[[TCDeals] - [TC Property Current Stage (Seq: 1)] - [PVC Property Costs (Seq: 1)] Builders Profit - Send]&gt;</t>
        </r>
      </text>
    </comment>
    <comment ref="U22" authorId="0" shapeId="0" xr:uid="{00000000-0006-0000-0700-00001D000000}">
      <text>
        <r>
          <rPr>
            <b/>
            <sz val="9"/>
            <color indexed="81"/>
            <rFont val="Tahoma"/>
            <family val="2"/>
          </rPr>
          <t>&lt;[[TCDeals] - [TC Property Current Stage (Seq: 1)] - [Acquisition Property Costs (Seq: 1)] Builders Profit - Send]&gt;</t>
        </r>
      </text>
    </comment>
    <comment ref="Q23" authorId="0" shapeId="0" xr:uid="{00000000-0006-0000-0700-00001E000000}">
      <text>
        <r>
          <rPr>
            <b/>
            <sz val="9"/>
            <color indexed="81"/>
            <rFont val="Tahoma"/>
            <family val="2"/>
          </rPr>
          <t>&lt;[[TCDeals] - [TC Property Current Stage (Seq: 1)] - [Actual Property Costs (Seq: 1)] Bonding Fee - Send]&gt;</t>
        </r>
      </text>
    </comment>
    <comment ref="S23" authorId="0" shapeId="0" xr:uid="{00000000-0006-0000-0700-00001F000000}">
      <text>
        <r>
          <rPr>
            <b/>
            <sz val="9"/>
            <color indexed="81"/>
            <rFont val="Tahoma"/>
            <family val="2"/>
          </rPr>
          <t>&lt;[[TCDeals] - [TC Property Current Stage (Seq: 1)] - [PVC Property Costs (Seq: 1)] Bonding Fee - Send]&gt;</t>
        </r>
      </text>
    </comment>
    <comment ref="U23" authorId="0" shapeId="0" xr:uid="{00000000-0006-0000-0700-000020000000}">
      <text>
        <r>
          <rPr>
            <b/>
            <sz val="9"/>
            <color indexed="81"/>
            <rFont val="Tahoma"/>
            <family val="2"/>
          </rPr>
          <t>&lt;[[TCDeals] - [TC Property Current Stage (Seq: 1)] - [Acquisition Property Costs (Seq: 1)] Bonding Fee - Send]&gt;</t>
        </r>
      </text>
    </comment>
    <comment ref="Q24" authorId="0" shapeId="0" xr:uid="{00000000-0006-0000-0700-000021000000}">
      <text>
        <r>
          <rPr>
            <b/>
            <sz val="9"/>
            <color indexed="81"/>
            <rFont val="Tahoma"/>
            <family val="2"/>
          </rPr>
          <t>&lt;[[TCDeals] - [TC Property Current Stage (Seq: 1)] - [Actual Property Costs (Seq: 1)] Building Permit - Send]&gt;</t>
        </r>
      </text>
    </comment>
    <comment ref="S24" authorId="0" shapeId="0" xr:uid="{00000000-0006-0000-0700-000022000000}">
      <text>
        <r>
          <rPr>
            <b/>
            <sz val="9"/>
            <color indexed="81"/>
            <rFont val="Tahoma"/>
            <family val="2"/>
          </rPr>
          <t>&lt;[[TCDeals] - [TC Property Current Stage (Seq: 1)] - [PVC Property Costs (Seq: 1)] Building Permit - Send]&gt;</t>
        </r>
      </text>
    </comment>
    <comment ref="U24" authorId="0" shapeId="0" xr:uid="{00000000-0006-0000-0700-000023000000}">
      <text>
        <r>
          <rPr>
            <b/>
            <sz val="9"/>
            <color indexed="81"/>
            <rFont val="Tahoma"/>
            <family val="2"/>
          </rPr>
          <t>&lt;[[TCDeals] - [TC Property Current Stage (Seq: 1)] - [Acquisition Property Costs (Seq: 1)] Building Permit - Send]&gt;</t>
        </r>
      </text>
    </comment>
    <comment ref="Q25" authorId="0" shapeId="0" xr:uid="{00000000-0006-0000-0700-000024000000}">
      <text>
        <r>
          <rPr>
            <b/>
            <sz val="9"/>
            <color indexed="81"/>
            <rFont val="Tahoma"/>
            <family val="2"/>
          </rPr>
          <t>&lt;[[TCDeals] - [TC Property Current Stage (Seq: 1)] - [Actual Property Costs (Seq: 1)] Arch Engin Design Fee - Send]&gt;</t>
        </r>
      </text>
    </comment>
    <comment ref="S25" authorId="0" shapeId="0" xr:uid="{00000000-0006-0000-0700-000025000000}">
      <text>
        <r>
          <rPr>
            <b/>
            <sz val="9"/>
            <color indexed="81"/>
            <rFont val="Tahoma"/>
            <family val="2"/>
          </rPr>
          <t>&lt;[[TCDeals] - [TC Property Current Stage (Seq: 1)] - [PVC Property Costs (Seq: 1)] Arch Engin Design Fee - Send]&gt;</t>
        </r>
      </text>
    </comment>
    <comment ref="U25" authorId="0" shapeId="0" xr:uid="{00000000-0006-0000-0700-000026000000}">
      <text>
        <r>
          <rPr>
            <b/>
            <sz val="9"/>
            <color indexed="81"/>
            <rFont val="Tahoma"/>
            <family val="2"/>
          </rPr>
          <t>&lt;[[TCDeals] - [TC Property Current Stage (Seq: 1)] - [Acquisition Property Costs (Seq: 1)] Arch Engin Design Fee - Send]&gt;</t>
        </r>
      </text>
    </comment>
    <comment ref="Q26" authorId="0" shapeId="0" xr:uid="{00000000-0006-0000-0700-000027000000}">
      <text>
        <r>
          <rPr>
            <b/>
            <sz val="9"/>
            <color indexed="81"/>
            <rFont val="Tahoma"/>
            <family val="2"/>
          </rPr>
          <t>&lt;[[TCDeals] - [TC Property Current Stage (Seq: 1)] - [Actual Property Costs (Seq: 1)] Arch Supervision Fee - Send]&gt;</t>
        </r>
      </text>
    </comment>
    <comment ref="S26" authorId="0" shapeId="0" xr:uid="{00000000-0006-0000-0700-000028000000}">
      <text>
        <r>
          <rPr>
            <b/>
            <sz val="9"/>
            <color indexed="81"/>
            <rFont val="Tahoma"/>
            <family val="2"/>
          </rPr>
          <t>&lt;[[TCDeals] - [TC Property Current Stage (Seq: 1)] - [PVC Property Costs (Seq: 1)] Arch Supervision Fee - Send]&gt;</t>
        </r>
      </text>
    </comment>
    <comment ref="U26" authorId="0" shapeId="0" xr:uid="{00000000-0006-0000-0700-000029000000}">
      <text>
        <r>
          <rPr>
            <b/>
            <sz val="9"/>
            <color indexed="81"/>
            <rFont val="Tahoma"/>
            <family val="2"/>
          </rPr>
          <t>&lt;[[TCDeals] - [TC Property Current Stage (Seq: 1)] - [Acquisition Property Costs (Seq: 1)] Arch Supervision Fee - Send]&gt;</t>
        </r>
      </text>
    </comment>
    <comment ref="Q27" authorId="0" shapeId="0" xr:uid="{00000000-0006-0000-0700-00002A000000}">
      <text>
        <r>
          <rPr>
            <b/>
            <sz val="9"/>
            <color indexed="81"/>
            <rFont val="Tahoma"/>
            <family val="2"/>
          </rPr>
          <t>&lt;[[TCDeals] - [TC Property Current Stage (Seq: 1)] - [Actual Property Costs (Seq: 1)] Appraisal Fee - Send]&gt;</t>
        </r>
      </text>
    </comment>
    <comment ref="S27" authorId="0" shapeId="0" xr:uid="{00000000-0006-0000-0700-00002B000000}">
      <text>
        <r>
          <rPr>
            <b/>
            <sz val="9"/>
            <color indexed="81"/>
            <rFont val="Tahoma"/>
            <family val="2"/>
          </rPr>
          <t>&lt;[[TCDeals] - [TC Property Current Stage (Seq: 1)] - [PVC Property Costs (Seq: 1)] Appraisal Fee - Send]&gt;</t>
        </r>
      </text>
    </comment>
    <comment ref="U27" authorId="0" shapeId="0" xr:uid="{00000000-0006-0000-0700-00002C000000}">
      <text>
        <r>
          <rPr>
            <b/>
            <sz val="9"/>
            <color indexed="81"/>
            <rFont val="Tahoma"/>
            <family val="2"/>
          </rPr>
          <t>&lt;[[TCDeals] - [TC Property Current Stage (Seq: 1)] - [Acquisition Property Costs (Seq: 1)] Appraisal Fee - Send]&gt;</t>
        </r>
      </text>
    </comment>
    <comment ref="Q28" authorId="0" shapeId="0" xr:uid="{00000000-0006-0000-0700-00002D000000}">
      <text>
        <r>
          <rPr>
            <b/>
            <sz val="9"/>
            <color indexed="81"/>
            <rFont val="Tahoma"/>
            <family val="2"/>
          </rPr>
          <t>&lt;[[TCDeals] - [TC Property Current Stage (Seq: 1)] - [Actual Property Costs (Seq: 1)] Closing Legal Fees - Send]&gt;</t>
        </r>
      </text>
    </comment>
    <comment ref="S28" authorId="0" shapeId="0" xr:uid="{00000000-0006-0000-0700-00002E000000}">
      <text>
        <r>
          <rPr>
            <b/>
            <sz val="9"/>
            <color indexed="81"/>
            <rFont val="Tahoma"/>
            <family val="2"/>
          </rPr>
          <t>&lt;[[TCDeals] - [TC Property Current Stage (Seq: 1)] - [PVC Property Costs (Seq: 1)] Closing Legal Fees - Send]&gt;</t>
        </r>
      </text>
    </comment>
    <comment ref="U28" authorId="0" shapeId="0" xr:uid="{00000000-0006-0000-0700-00002F000000}">
      <text>
        <r>
          <rPr>
            <b/>
            <sz val="9"/>
            <color indexed="81"/>
            <rFont val="Tahoma"/>
            <family val="2"/>
          </rPr>
          <t>&lt;[[TCDeals] - [TC Property Current Stage (Seq: 1)] - [Acquisition Property Costs (Seq: 1)] Closing Legal Fees - Send]&gt;</t>
        </r>
      </text>
    </comment>
    <comment ref="Q29" authorId="0" shapeId="0" xr:uid="{00000000-0006-0000-0700-000030000000}">
      <text>
        <r>
          <rPr>
            <b/>
            <sz val="9"/>
            <color indexed="81"/>
            <rFont val="Tahoma"/>
            <family val="2"/>
          </rPr>
          <t>&lt;[[TCDeals] - [TC Property Current Stage (Seq: 1)] - [Actual Property Costs (Seq: 1)] Title And Recording - Send]&gt;</t>
        </r>
      </text>
    </comment>
    <comment ref="S29" authorId="0" shapeId="0" xr:uid="{00000000-0006-0000-0700-000031000000}">
      <text>
        <r>
          <rPr>
            <b/>
            <sz val="9"/>
            <color indexed="81"/>
            <rFont val="Tahoma"/>
            <family val="2"/>
          </rPr>
          <t>&lt;[[TCDeals] - [TC Property Current Stage (Seq: 1)] - [PVC Property Costs (Seq: 1)] Title And Recording - Send]&gt;</t>
        </r>
      </text>
    </comment>
    <comment ref="U29" authorId="0" shapeId="0" xr:uid="{00000000-0006-0000-0700-000032000000}">
      <text>
        <r>
          <rPr>
            <b/>
            <sz val="9"/>
            <color indexed="81"/>
            <rFont val="Tahoma"/>
            <family val="2"/>
          </rPr>
          <t>&lt;[[TCDeals] - [TC Property Current Stage (Seq: 1)] - [Acquisition Property Costs (Seq: 1)] Title And Recording - Send]&gt;</t>
        </r>
      </text>
    </comment>
    <comment ref="Q30" authorId="0" shapeId="0" xr:uid="{00000000-0006-0000-0700-000033000000}">
      <text>
        <r>
          <rPr>
            <b/>
            <sz val="9"/>
            <color indexed="81"/>
            <rFont val="Tahoma"/>
            <family val="2"/>
          </rPr>
          <t>&lt;[[TCDeals] - [TC Property Current Stage (Seq: 1)] - [Actual Property Costs (Seq: 1)] Cost Cert Fee - Send]&gt;</t>
        </r>
      </text>
    </comment>
    <comment ref="S30" authorId="0" shapeId="0" xr:uid="{00000000-0006-0000-0700-000034000000}">
      <text>
        <r>
          <rPr>
            <b/>
            <sz val="9"/>
            <color indexed="81"/>
            <rFont val="Tahoma"/>
            <family val="2"/>
          </rPr>
          <t>&lt;[[TCDeals] - [TC Property Current Stage (Seq: 1)] - [PVC Property Costs (Seq: 1)] Cost Cert Fee - Send]&gt;</t>
        </r>
      </text>
    </comment>
    <comment ref="U30" authorId="0" shapeId="0" xr:uid="{00000000-0006-0000-0700-000035000000}">
      <text>
        <r>
          <rPr>
            <b/>
            <sz val="9"/>
            <color indexed="81"/>
            <rFont val="Tahoma"/>
            <family val="2"/>
          </rPr>
          <t>&lt;[[TCDeals] - [TC Property Current Stage (Seq: 1)] - [Acquisition Property Costs (Seq: 1)] Cost Cert Fee - Send]&gt;</t>
        </r>
      </text>
    </comment>
    <comment ref="Q31" authorId="0" shapeId="0" xr:uid="{00000000-0006-0000-0700-000036000000}">
      <text>
        <r>
          <rPr>
            <b/>
            <sz val="9"/>
            <color indexed="81"/>
            <rFont val="Tahoma"/>
            <family val="2"/>
          </rPr>
          <t>&lt;[[TCDeals] - [TC Property Current Stage (Seq: 1)] - [Actual Property Costs (Seq: 1)] Constr Interest - Send]&gt;</t>
        </r>
      </text>
    </comment>
    <comment ref="S31" authorId="0" shapeId="0" xr:uid="{00000000-0006-0000-0700-000037000000}">
      <text>
        <r>
          <rPr>
            <b/>
            <sz val="9"/>
            <color indexed="81"/>
            <rFont val="Tahoma"/>
            <family val="2"/>
          </rPr>
          <t>&lt;[[TCDeals] - [TC Property Current Stage (Seq: 1)] - [PVC Property Costs (Seq: 1)] Constr Interest - Send]&gt;</t>
        </r>
      </text>
    </comment>
    <comment ref="U31" authorId="0" shapeId="0" xr:uid="{00000000-0006-0000-0700-000038000000}">
      <text>
        <r>
          <rPr>
            <b/>
            <sz val="9"/>
            <color indexed="81"/>
            <rFont val="Tahoma"/>
            <family val="2"/>
          </rPr>
          <t>&lt;[[TCDeals] - [TC Property Current Stage (Seq: 1)] - [Acquisition Property Costs (Seq: 1)] Constr Interest - Send]&gt;</t>
        </r>
      </text>
    </comment>
    <comment ref="Q32" authorId="0" shapeId="0" xr:uid="{00000000-0006-0000-0700-000039000000}">
      <text>
        <r>
          <rPr>
            <b/>
            <sz val="9"/>
            <color indexed="81"/>
            <rFont val="Tahoma"/>
            <family val="2"/>
          </rPr>
          <t>&lt;[[TCDeals] - [TC Property Current Stage (Seq: 1)] - [Actual Property Costs (Seq: 1)] Constr Loan Orig Fee - Send]&gt;</t>
        </r>
      </text>
    </comment>
    <comment ref="S32" authorId="0" shapeId="0" xr:uid="{00000000-0006-0000-0700-00003A000000}">
      <text>
        <r>
          <rPr>
            <b/>
            <sz val="9"/>
            <color indexed="81"/>
            <rFont val="Tahoma"/>
            <family val="2"/>
          </rPr>
          <t>&lt;[[TCDeals] - [TC Property Current Stage (Seq: 1)] - [PVC Property Costs (Seq: 1)] Constr Loan Orig Fee - Send]&gt;</t>
        </r>
      </text>
    </comment>
    <comment ref="U32" authorId="0" shapeId="0" xr:uid="{00000000-0006-0000-0700-00003B000000}">
      <text>
        <r>
          <rPr>
            <b/>
            <sz val="9"/>
            <color indexed="81"/>
            <rFont val="Tahoma"/>
            <family val="2"/>
          </rPr>
          <t>&lt;[[TCDeals] - [TC Property Current Stage (Seq: 1)] - [Acquisition Property Costs (Seq: 1)] Constr Loan Orig Fee - Send]&gt;</t>
        </r>
      </text>
    </comment>
    <comment ref="Q33" authorId="0" shapeId="0" xr:uid="{00000000-0006-0000-0700-00003C000000}">
      <text>
        <r>
          <rPr>
            <b/>
            <sz val="9"/>
            <color indexed="81"/>
            <rFont val="Tahoma"/>
            <family val="2"/>
          </rPr>
          <t>&lt;[[TCDeals] - [TC Property Current Stage (Seq: 1)] - [Actual Property Costs (Seq: 1)] Insurance Construction - Send]&gt;</t>
        </r>
      </text>
    </comment>
    <comment ref="S33" authorId="0" shapeId="0" xr:uid="{00000000-0006-0000-0700-00003D000000}">
      <text>
        <r>
          <rPr>
            <b/>
            <sz val="9"/>
            <color indexed="81"/>
            <rFont val="Tahoma"/>
            <family val="2"/>
          </rPr>
          <t>&lt;[[TCDeals] - [TC Property Current Stage (Seq: 1)] - [PVC Property Costs (Seq: 1)] Insurance Construction - Send]&gt;</t>
        </r>
      </text>
    </comment>
    <comment ref="U33" authorId="0" shapeId="0" xr:uid="{00000000-0006-0000-0700-00003E000000}">
      <text>
        <r>
          <rPr>
            <b/>
            <sz val="9"/>
            <color indexed="81"/>
            <rFont val="Tahoma"/>
            <family val="2"/>
          </rPr>
          <t>&lt;[[TCDeals] - [TC Property Current Stage (Seq: 1)] - [Acquisition Property Costs (Seq: 1)] Insurance Construction - Send]&gt;</t>
        </r>
      </text>
    </comment>
    <comment ref="Q34" authorId="0" shapeId="0" xr:uid="{00000000-0006-0000-0700-00003F000000}">
      <text>
        <r>
          <rPr>
            <b/>
            <sz val="9"/>
            <color indexed="81"/>
            <rFont val="Tahoma"/>
            <family val="2"/>
          </rPr>
          <t>&lt;[[TCDeals] - [TC Property Current Stage (Seq: 1)] - [Actual Property Costs (Seq: 1)] Taxes Construction - Send]&gt;</t>
        </r>
      </text>
    </comment>
    <comment ref="S34" authorId="0" shapeId="0" xr:uid="{00000000-0006-0000-0700-000040000000}">
      <text>
        <r>
          <rPr>
            <b/>
            <sz val="9"/>
            <color indexed="81"/>
            <rFont val="Tahoma"/>
            <family val="2"/>
          </rPr>
          <t>&lt;[[TCDeals] - [TC Property Current Stage (Seq: 1)] - [PVC Property Costs (Seq: 1)] Taxes Construction - Send]&gt;</t>
        </r>
      </text>
    </comment>
    <comment ref="U34" authorId="0" shapeId="0" xr:uid="{00000000-0006-0000-0700-000041000000}">
      <text>
        <r>
          <rPr>
            <b/>
            <sz val="9"/>
            <color indexed="81"/>
            <rFont val="Tahoma"/>
            <family val="2"/>
          </rPr>
          <t>&lt;[[TCDeals] - [TC Property Current Stage (Seq: 1)] - [Acquisition Property Costs (Seq: 1)] Taxes Construction - Send]&gt;</t>
        </r>
      </text>
    </comment>
    <comment ref="Q35" authorId="0" shapeId="0" xr:uid="{00000000-0006-0000-0700-000042000000}">
      <text>
        <r>
          <rPr>
            <b/>
            <sz val="9"/>
            <color indexed="81"/>
            <rFont val="Tahoma"/>
            <family val="2"/>
          </rPr>
          <t>&lt;[[TCDeals] - [TC Property Current Stage (Seq: 1)] - [Actual Property Costs (Seq: 1)] Perm Loan Fee - Send]&gt;</t>
        </r>
      </text>
    </comment>
    <comment ref="Q36" authorId="0" shapeId="0" xr:uid="{00000000-0006-0000-0700-000043000000}">
      <text>
        <r>
          <rPr>
            <b/>
            <sz val="9"/>
            <color indexed="81"/>
            <rFont val="Tahoma"/>
            <family val="2"/>
          </rPr>
          <t>&lt;[[TCDeals] - [TC Property Current Stage (Seq: 1)] - [Actual Property Costs (Seq: 1)] Market Study - Send]&gt;</t>
        </r>
      </text>
    </comment>
    <comment ref="S36" authorId="0" shapeId="0" xr:uid="{00000000-0006-0000-0700-000044000000}">
      <text>
        <r>
          <rPr>
            <b/>
            <sz val="9"/>
            <color indexed="81"/>
            <rFont val="Tahoma"/>
            <family val="2"/>
          </rPr>
          <t>&lt;[[TCDeals] - [TC Property Current Stage (Seq: 1)] - [PVC Property Costs (Seq: 1)] Market Study - Send]&gt;</t>
        </r>
      </text>
    </comment>
    <comment ref="U36" authorId="0" shapeId="0" xr:uid="{00000000-0006-0000-0700-000045000000}">
      <text>
        <r>
          <rPr>
            <b/>
            <sz val="9"/>
            <color indexed="81"/>
            <rFont val="Tahoma"/>
            <family val="2"/>
          </rPr>
          <t>&lt;[[TCDeals] - [TC Property Current Stage (Seq: 1)] - [Acquisition Property Costs (Seq: 1)] Market Study - Send]&gt;</t>
        </r>
      </text>
    </comment>
    <comment ref="Q37" authorId="0" shapeId="0" xr:uid="{00000000-0006-0000-0700-000046000000}">
      <text>
        <r>
          <rPr>
            <b/>
            <sz val="9"/>
            <color indexed="81"/>
            <rFont val="Tahoma"/>
            <family val="2"/>
          </rPr>
          <t>&lt;[[TCDeals] - [TC Property Current Stage (Seq: 1)] - [Actual Property Costs (Seq: 1)] Enviro Study - Send]&gt;</t>
        </r>
      </text>
    </comment>
    <comment ref="S37" authorId="0" shapeId="0" xr:uid="{00000000-0006-0000-0700-000047000000}">
      <text>
        <r>
          <rPr>
            <b/>
            <sz val="9"/>
            <color indexed="81"/>
            <rFont val="Tahoma"/>
            <family val="2"/>
          </rPr>
          <t>&lt;[[TCDeals] - [TC Property Current Stage (Seq: 1)] - [PVC Property Costs (Seq: 1)] Enviro Study - Send]&gt;</t>
        </r>
      </text>
    </comment>
    <comment ref="U37" authorId="0" shapeId="0" xr:uid="{00000000-0006-0000-0700-000048000000}">
      <text>
        <r>
          <rPr>
            <b/>
            <sz val="9"/>
            <color indexed="81"/>
            <rFont val="Tahoma"/>
            <family val="2"/>
          </rPr>
          <t>&lt;[[TCDeals] - [TC Property Current Stage (Seq: 1)] - [Acquisition Property Costs (Seq: 1)] Enviro Study - Send]&gt;</t>
        </r>
      </text>
    </comment>
    <comment ref="Q38" authorId="0" shapeId="0" xr:uid="{00000000-0006-0000-0700-000049000000}">
      <text>
        <r>
          <rPr>
            <b/>
            <sz val="9"/>
            <color indexed="81"/>
            <rFont val="Tahoma"/>
            <family val="2"/>
          </rPr>
          <t>&lt;[[TCDeals] - [TC Property Current Stage (Seq: 1)] - [Actual Property Costs (Seq: 1)] Tax Credit Fee - Send]&gt;</t>
        </r>
      </text>
    </comment>
    <comment ref="Q39" authorId="0" shapeId="0" xr:uid="{00000000-0006-0000-0700-00004A000000}">
      <text>
        <r>
          <rPr>
            <b/>
            <sz val="9"/>
            <color indexed="81"/>
            <rFont val="Tahoma"/>
            <family val="2"/>
          </rPr>
          <t>&lt;[[TCDeals] - [TC Property Current Stage (Seq: 1)] - [Actual Property Costs (Seq: 1)] Developer Fees - Send]&gt;</t>
        </r>
      </text>
    </comment>
    <comment ref="S39" authorId="0" shapeId="0" xr:uid="{00000000-0006-0000-0700-00004B000000}">
      <text>
        <r>
          <rPr>
            <b/>
            <sz val="9"/>
            <color indexed="81"/>
            <rFont val="Tahoma"/>
            <family val="2"/>
          </rPr>
          <t>&lt;[[TCDeals] - [TC Property Current Stage (Seq: 1)] - [PVC Property Costs (Seq: 1)] Developer Fees - Send]&gt;</t>
        </r>
      </text>
    </comment>
    <comment ref="U39" authorId="0" shapeId="0" xr:uid="{00000000-0006-0000-0700-00004C000000}">
      <text>
        <r>
          <rPr>
            <b/>
            <sz val="9"/>
            <color indexed="81"/>
            <rFont val="Tahoma"/>
            <family val="2"/>
          </rPr>
          <t>&lt;[[TCDeals] - [TC Property Current Stage (Seq: 1)] - [Acquisition Property Costs (Seq: 1)] Developer Fees - Send]&gt;</t>
        </r>
      </text>
    </comment>
    <comment ref="Q40" authorId="0" shapeId="0" xr:uid="{00000000-0006-0000-0700-00004D000000}">
      <text>
        <r>
          <rPr>
            <b/>
            <sz val="9"/>
            <color indexed="81"/>
            <rFont val="Tahoma"/>
            <family val="2"/>
          </rPr>
          <t>&lt;[[TCDeals] - [TC Property Current Stage (Seq: 1)] - [Actual Property Costs (Seq: 1)] Oper Reserve - Send]&gt;</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Q11" authorId="0" shapeId="0" xr:uid="{00000000-0006-0000-0800-000001000000}">
      <text>
        <r>
          <rPr>
            <b/>
            <sz val="9"/>
            <color indexed="81"/>
            <rFont val="Tahoma"/>
            <family val="2"/>
          </rPr>
          <t>&lt;[[TCDeals] - [TC Property Current Stage (Seq: 1)] - [Actual Property Costs (Seq: 1)] Actual Addl Cost 1 - Send]&gt;</t>
        </r>
      </text>
    </comment>
    <comment ref="S11" authorId="0" shapeId="0" xr:uid="{00000000-0006-0000-0800-000002000000}">
      <text>
        <r>
          <rPr>
            <b/>
            <sz val="9"/>
            <color indexed="81"/>
            <rFont val="Tahoma"/>
            <family val="2"/>
          </rPr>
          <t>&lt;[[TCDeals] - [TC Property Current Stage (Seq: 1)] - [PVC Property Costs (Seq: 1)] PVC Addl Cost 1 - Send]&gt;</t>
        </r>
      </text>
    </comment>
    <comment ref="U11" authorId="0" shapeId="0" xr:uid="{00000000-0006-0000-0800-000003000000}">
      <text>
        <r>
          <rPr>
            <b/>
            <sz val="9"/>
            <color indexed="81"/>
            <rFont val="Tahoma"/>
            <family val="2"/>
          </rPr>
          <t>&lt;[[TCDeals] - [TC Property Current Stage (Seq: 1)] - [Acquisition Property Costs (Seq: 1)] Acq Addl Cost 1 - Send]&gt;</t>
        </r>
      </text>
    </comment>
    <comment ref="O12" authorId="0" shapeId="0" xr:uid="{00000000-0006-0000-0800-000004000000}">
      <text>
        <r>
          <rPr>
            <b/>
            <sz val="9"/>
            <color indexed="81"/>
            <rFont val="Tahoma"/>
            <family val="2"/>
          </rPr>
          <t>&lt;[[TCDeals] - [TC Property Current Stage (Seq: 1)] Additional Costs 1 - Send]&gt;</t>
        </r>
      </text>
    </comment>
    <comment ref="O13" authorId="0" shapeId="0" xr:uid="{00000000-0006-0000-0800-000005000000}">
      <text>
        <r>
          <rPr>
            <b/>
            <sz val="9"/>
            <color indexed="81"/>
            <rFont val="Tahoma"/>
            <family val="2"/>
          </rPr>
          <t>&lt;[[TCDeals] - [TC Property Current Stage (Seq: 1)] Additional Costs 2 - Send]&gt;</t>
        </r>
      </text>
    </comment>
    <comment ref="Q13" authorId="0" shapeId="0" xr:uid="{00000000-0006-0000-0800-000006000000}">
      <text>
        <r>
          <rPr>
            <b/>
            <sz val="9"/>
            <color indexed="81"/>
            <rFont val="Tahoma"/>
            <family val="2"/>
          </rPr>
          <t>&lt;[[TCDeals] - [TC Property Current Stage (Seq: 1)] - [Actual Property Costs (Seq: 1)] Actual Addl Cost 2 - Send]&gt;</t>
        </r>
      </text>
    </comment>
    <comment ref="S13" authorId="0" shapeId="0" xr:uid="{00000000-0006-0000-0800-000007000000}">
      <text>
        <r>
          <rPr>
            <b/>
            <sz val="9"/>
            <color indexed="81"/>
            <rFont val="Tahoma"/>
            <family val="2"/>
          </rPr>
          <t>&lt;[[TCDeals] - [TC Property Current Stage (Seq: 1)] - [PVC Property Costs (Seq: 1)] PVC Addl Cost 2 - Send]&gt;</t>
        </r>
      </text>
    </comment>
    <comment ref="U13" authorId="0" shapeId="0" xr:uid="{00000000-0006-0000-0800-000008000000}">
      <text>
        <r>
          <rPr>
            <b/>
            <sz val="9"/>
            <color indexed="81"/>
            <rFont val="Tahoma"/>
            <family val="2"/>
          </rPr>
          <t>&lt;[[TCDeals] - [TC Property Current Stage (Seq: 1)] - [Acquisition Property Costs (Seq: 1)] Acq Addl Cost 2 - Send]&gt;</t>
        </r>
      </text>
    </comment>
    <comment ref="O14" authorId="0" shapeId="0" xr:uid="{00000000-0006-0000-0800-000009000000}">
      <text>
        <r>
          <rPr>
            <b/>
            <sz val="9"/>
            <color indexed="81"/>
            <rFont val="Tahoma"/>
            <family val="2"/>
          </rPr>
          <t>&lt;[[TCDeals] - [TC Property Current Stage (Seq: 1)] Additional Costs 3 - Send]&gt;</t>
        </r>
      </text>
    </comment>
    <comment ref="Q14" authorId="0" shapeId="0" xr:uid="{00000000-0006-0000-0800-00000A000000}">
      <text>
        <r>
          <rPr>
            <b/>
            <sz val="9"/>
            <color indexed="81"/>
            <rFont val="Tahoma"/>
            <family val="2"/>
          </rPr>
          <t>&lt;[[TCDeals] - [TC Property Current Stage (Seq: 1)] - [Actual Property Costs (Seq: 1)] Actual Addl Cost 3 - Send]&gt;</t>
        </r>
      </text>
    </comment>
    <comment ref="S14" authorId="0" shapeId="0" xr:uid="{00000000-0006-0000-0800-00000B000000}">
      <text>
        <r>
          <rPr>
            <b/>
            <sz val="9"/>
            <color indexed="81"/>
            <rFont val="Tahoma"/>
            <family val="2"/>
          </rPr>
          <t>&lt;[[TCDeals] - [TC Property Current Stage (Seq: 1)] - [PVC Property Costs (Seq: 1)] PVC Addl Cost 3 - Send]&gt;</t>
        </r>
      </text>
    </comment>
    <comment ref="U14" authorId="0" shapeId="0" xr:uid="{00000000-0006-0000-0800-00000C000000}">
      <text>
        <r>
          <rPr>
            <b/>
            <sz val="9"/>
            <color indexed="81"/>
            <rFont val="Tahoma"/>
            <family val="2"/>
          </rPr>
          <t>&lt;[[TCDeals] - [TC Property Current Stage (Seq: 1)] - [Acquisition Property Costs (Seq: 1)] Acq Addl Cost 3 - Send]&gt;</t>
        </r>
      </text>
    </comment>
    <comment ref="O15" authorId="0" shapeId="0" xr:uid="{00000000-0006-0000-0800-00000D000000}">
      <text>
        <r>
          <rPr>
            <b/>
            <sz val="9"/>
            <color indexed="81"/>
            <rFont val="Tahoma"/>
            <family val="2"/>
          </rPr>
          <t>&lt;[[TCDeals] - [TC Property Current Stage (Seq: 1)] Additional Costs 4 - Send]&gt;</t>
        </r>
      </text>
    </comment>
    <comment ref="Q15" authorId="0" shapeId="0" xr:uid="{00000000-0006-0000-0800-00000E000000}">
      <text>
        <r>
          <rPr>
            <b/>
            <sz val="9"/>
            <color indexed="81"/>
            <rFont val="Tahoma"/>
            <family val="2"/>
          </rPr>
          <t>&lt;[[TCDeals] - [TC Property Current Stage (Seq: 1)] - [Actual Property Costs (Seq: 1)] Actual Addl Cost 4 - Send]&gt;</t>
        </r>
      </text>
    </comment>
    <comment ref="S15" authorId="0" shapeId="0" xr:uid="{00000000-0006-0000-0800-00000F000000}">
      <text>
        <r>
          <rPr>
            <b/>
            <sz val="9"/>
            <color indexed="81"/>
            <rFont val="Tahoma"/>
            <family val="2"/>
          </rPr>
          <t>&lt;[[TCDeals] - [TC Property Current Stage (Seq: 1)] - [PVC Property Costs (Seq: 1)] PVC Addl Cost 4 - Send]&gt;</t>
        </r>
      </text>
    </comment>
    <comment ref="U15" authorId="0" shapeId="0" xr:uid="{00000000-0006-0000-0800-000010000000}">
      <text>
        <r>
          <rPr>
            <b/>
            <sz val="9"/>
            <color indexed="81"/>
            <rFont val="Tahoma"/>
            <family val="2"/>
          </rPr>
          <t>&lt;[[TCDeals] - [TC Property Current Stage (Seq: 1)] - [Acquisition Property Costs (Seq: 1)] Acq Addl Cost 4 - Send]&gt;</t>
        </r>
      </text>
    </comment>
    <comment ref="O16" authorId="0" shapeId="0" xr:uid="{00000000-0006-0000-0800-000011000000}">
      <text>
        <r>
          <rPr>
            <b/>
            <sz val="9"/>
            <color indexed="81"/>
            <rFont val="Tahoma"/>
            <family val="2"/>
          </rPr>
          <t>&lt;[[TCDeals] - [TC Property Current Stage (Seq: 1)] Additional Costs 5 - Send]&gt;</t>
        </r>
      </text>
    </comment>
    <comment ref="Q16" authorId="0" shapeId="0" xr:uid="{00000000-0006-0000-0800-000012000000}">
      <text>
        <r>
          <rPr>
            <b/>
            <sz val="9"/>
            <color indexed="81"/>
            <rFont val="Tahoma"/>
            <family val="2"/>
          </rPr>
          <t>&lt;[[TCDeals] - [TC Property Current Stage (Seq: 1)] - [Actual Property Costs (Seq: 1)] Actual Addl Cost 5 - Send]&gt;</t>
        </r>
      </text>
    </comment>
    <comment ref="S16" authorId="0" shapeId="0" xr:uid="{00000000-0006-0000-0800-000013000000}">
      <text>
        <r>
          <rPr>
            <b/>
            <sz val="9"/>
            <color indexed="81"/>
            <rFont val="Tahoma"/>
            <family val="2"/>
          </rPr>
          <t>&lt;[[TCDeals] - [TC Property Current Stage (Seq: 1)] - [PVC Property Costs (Seq: 1)] PVC Addl Cost 5 - Send]&gt;</t>
        </r>
      </text>
    </comment>
    <comment ref="U16" authorId="0" shapeId="0" xr:uid="{00000000-0006-0000-0800-000014000000}">
      <text>
        <r>
          <rPr>
            <b/>
            <sz val="9"/>
            <color indexed="81"/>
            <rFont val="Tahoma"/>
            <family val="2"/>
          </rPr>
          <t>&lt;[[TCDeals] - [TC Property Current Stage (Seq: 1)] - [Acquisition Property Costs (Seq: 1)] Acq Addl Cost 5 - Send]&gt;</t>
        </r>
      </text>
    </comment>
    <comment ref="O17" authorId="0" shapeId="0" xr:uid="{00000000-0006-0000-0800-000015000000}">
      <text>
        <r>
          <rPr>
            <b/>
            <sz val="9"/>
            <color indexed="81"/>
            <rFont val="Tahoma"/>
            <family val="2"/>
          </rPr>
          <t>&lt;[[TCDeals] - [TC Property Current Stage (Seq: 1)] Additional Costs 6 - Send]&gt;</t>
        </r>
      </text>
    </comment>
    <comment ref="Q17" authorId="0" shapeId="0" xr:uid="{00000000-0006-0000-0800-000016000000}">
      <text>
        <r>
          <rPr>
            <b/>
            <sz val="9"/>
            <color indexed="81"/>
            <rFont val="Tahoma"/>
            <family val="2"/>
          </rPr>
          <t>&lt;[[TCDeals] - [TC Property Current Stage (Seq: 1)] - [Actual Property Costs (Seq: 1)] Actual Addl Cost 6 - Send]&gt;</t>
        </r>
      </text>
    </comment>
    <comment ref="O18" authorId="0" shapeId="0" xr:uid="{00000000-0006-0000-0800-000017000000}">
      <text>
        <r>
          <rPr>
            <b/>
            <sz val="9"/>
            <color indexed="81"/>
            <rFont val="Tahoma"/>
            <family val="2"/>
          </rPr>
          <t>&lt;[[TCDeals] - [TC Property Current Stage (Seq: 1)] Additional Costs 7 - Send]&gt;</t>
        </r>
      </text>
    </comment>
    <comment ref="Q18" authorId="0" shapeId="0" xr:uid="{00000000-0006-0000-0800-000018000000}">
      <text>
        <r>
          <rPr>
            <b/>
            <sz val="9"/>
            <color indexed="81"/>
            <rFont val="Tahoma"/>
            <family val="2"/>
          </rPr>
          <t>&lt;[[TCDeals] - [TC Property Current Stage (Seq: 1)] - [Actual Property Costs (Seq: 1)] Actual Addl Cost 7 - Send]&gt;</t>
        </r>
      </text>
    </comment>
    <comment ref="O19" authorId="0" shapeId="0" xr:uid="{00000000-0006-0000-0800-000019000000}">
      <text>
        <r>
          <rPr>
            <b/>
            <sz val="9"/>
            <color indexed="81"/>
            <rFont val="Tahoma"/>
            <family val="2"/>
          </rPr>
          <t>&lt;[[TCDeals] - [TC Property Current Stage (Seq: 1)] Additional Costs 8 - Send]&gt;</t>
        </r>
      </text>
    </comment>
    <comment ref="Q19" authorId="0" shapeId="0" xr:uid="{00000000-0006-0000-0800-00001A000000}">
      <text>
        <r>
          <rPr>
            <b/>
            <sz val="9"/>
            <color indexed="81"/>
            <rFont val="Tahoma"/>
            <family val="2"/>
          </rPr>
          <t>&lt;[[TCDeals] - [TC Property Current Stage (Seq: 1)] - [Actual Property Costs (Seq: 1)] Actual Addl Cost 8 - Send]&gt;</t>
        </r>
      </text>
    </comment>
    <comment ref="O20" authorId="0" shapeId="0" xr:uid="{00000000-0006-0000-0800-00001B000000}">
      <text>
        <r>
          <rPr>
            <b/>
            <sz val="9"/>
            <color indexed="81"/>
            <rFont val="Tahoma"/>
            <family val="2"/>
          </rPr>
          <t>&lt;[[TCDeals] - [TC Property Current Stage (Seq: 1)] Additional Costs 9 - Send]&gt;</t>
        </r>
      </text>
    </comment>
    <comment ref="Q20" authorId="0" shapeId="0" xr:uid="{00000000-0006-0000-0800-00001C000000}">
      <text>
        <r>
          <rPr>
            <b/>
            <sz val="9"/>
            <color indexed="81"/>
            <rFont val="Tahoma"/>
            <family val="2"/>
          </rPr>
          <t>&lt;[[TCDeals] - [TC Property Current Stage (Seq: 1)] - [Actual Property Costs (Seq: 1)] Actual Addl Cost 9 - Send]&gt;</t>
        </r>
      </text>
    </comment>
    <comment ref="O21" authorId="0" shapeId="0" xr:uid="{00000000-0006-0000-0800-00001D000000}">
      <text>
        <r>
          <rPr>
            <b/>
            <sz val="9"/>
            <color indexed="81"/>
            <rFont val="Tahoma"/>
            <family val="2"/>
          </rPr>
          <t>&lt;[[TCDeals] - [TC Property Current Stage (Seq: 1)] Additional Costs 10 - Send]&gt;</t>
        </r>
      </text>
    </comment>
    <comment ref="Q21" authorId="0" shapeId="0" xr:uid="{00000000-0006-0000-0800-00001E000000}">
      <text>
        <r>
          <rPr>
            <b/>
            <sz val="9"/>
            <color indexed="81"/>
            <rFont val="Tahoma"/>
            <family val="2"/>
          </rPr>
          <t>&lt;[[TCDeals] - [TC Property Current Stage (Seq: 1)] - [Actual Property Costs (Seq: 1)] Actual Addl Cost 10 - Send]&gt;</t>
        </r>
      </text>
    </comment>
    <comment ref="S21" authorId="0" shapeId="0" xr:uid="{00000000-0006-0000-0800-00001F000000}">
      <text>
        <r>
          <rPr>
            <b/>
            <sz val="9"/>
            <color indexed="81"/>
            <rFont val="Tahoma"/>
            <family val="2"/>
          </rPr>
          <t>&lt;[[TCDeals] - [TC Property Current Stage (Seq: 1)] - [PVC Property Costs (Seq: 1)] PVC Addl Cost 10 - Send]&gt;</t>
        </r>
      </text>
    </comment>
    <comment ref="U21" authorId="0" shapeId="0" xr:uid="{00000000-0006-0000-0800-000020000000}">
      <text>
        <r>
          <rPr>
            <b/>
            <sz val="9"/>
            <color indexed="81"/>
            <rFont val="Tahoma"/>
            <family val="2"/>
          </rPr>
          <t>&lt;[[TCDeals] - [TC Property Current Stage (Seq: 1)] - [Acquisition Property Costs (Seq: 1)] Acq Addl Cost 10 - Send]&gt;</t>
        </r>
      </text>
    </comment>
    <comment ref="O22" authorId="0" shapeId="0" xr:uid="{00000000-0006-0000-0800-000021000000}">
      <text>
        <r>
          <rPr>
            <b/>
            <sz val="9"/>
            <color indexed="81"/>
            <rFont val="Tahoma"/>
            <family val="2"/>
          </rPr>
          <t>&lt;[[TCDeals] - [TC Property Current Stage (Seq: 1)] Additional Costs 11 - Send]&gt;</t>
        </r>
      </text>
    </comment>
    <comment ref="Q22" authorId="0" shapeId="0" xr:uid="{00000000-0006-0000-0800-000022000000}">
      <text>
        <r>
          <rPr>
            <b/>
            <sz val="9"/>
            <color indexed="81"/>
            <rFont val="Tahoma"/>
            <family val="2"/>
          </rPr>
          <t>&lt;[[TCDeals] - [TC Property Current Stage (Seq: 1)] - [Actual Property Costs (Seq: 1)] Actual Addl Cost 11 - Send]&gt;</t>
        </r>
      </text>
    </comment>
    <comment ref="S22" authorId="0" shapeId="0" xr:uid="{00000000-0006-0000-0800-000023000000}">
      <text>
        <r>
          <rPr>
            <b/>
            <sz val="9"/>
            <color indexed="81"/>
            <rFont val="Tahoma"/>
            <family val="2"/>
          </rPr>
          <t>&lt;[[TCDeals] - [TC Property Current Stage (Seq: 1)] - [PVC Property Costs (Seq: 1)] PVC Addl Cost 11 - Send]&gt;</t>
        </r>
      </text>
    </comment>
    <comment ref="U22" authorId="0" shapeId="0" xr:uid="{00000000-0006-0000-0800-000024000000}">
      <text>
        <r>
          <rPr>
            <b/>
            <sz val="9"/>
            <color indexed="81"/>
            <rFont val="Tahoma"/>
            <family val="2"/>
          </rPr>
          <t>&lt;[[TCDeals] - [TC Property Current Stage (Seq: 1)] - [Acquisition Property Costs (Seq: 1)] Acq Addl Cost 11 - Send]&gt;</t>
        </r>
      </text>
    </comment>
    <comment ref="O23" authorId="0" shapeId="0" xr:uid="{00000000-0006-0000-0800-000025000000}">
      <text>
        <r>
          <rPr>
            <b/>
            <sz val="9"/>
            <color indexed="81"/>
            <rFont val="Tahoma"/>
            <family val="2"/>
          </rPr>
          <t>&lt;[[TCDeals] - [TC Property Current Stage (Seq: 1)] Additional Costs 12 - Send]&gt;</t>
        </r>
      </text>
    </comment>
    <comment ref="Q23" authorId="0" shapeId="0" xr:uid="{00000000-0006-0000-0800-000026000000}">
      <text>
        <r>
          <rPr>
            <b/>
            <sz val="9"/>
            <color indexed="81"/>
            <rFont val="Tahoma"/>
            <family val="2"/>
          </rPr>
          <t>&lt;[[TCDeals] - [TC Property Current Stage (Seq: 1)] - [Actual Property Costs (Seq: 1)] Actual Addl Cost 12 - Send]&gt;</t>
        </r>
      </text>
    </comment>
    <comment ref="S23" authorId="0" shapeId="0" xr:uid="{00000000-0006-0000-0800-000027000000}">
      <text>
        <r>
          <rPr>
            <b/>
            <sz val="9"/>
            <color indexed="81"/>
            <rFont val="Tahoma"/>
            <family val="2"/>
          </rPr>
          <t>&lt;[[TCDeals] - [TC Property Current Stage (Seq: 1)] - [PVC Property Costs (Seq: 1)] PVC Addl Cost 12 - Send]&gt;</t>
        </r>
      </text>
    </comment>
    <comment ref="U23" authorId="0" shapeId="0" xr:uid="{00000000-0006-0000-0800-000028000000}">
      <text>
        <r>
          <rPr>
            <b/>
            <sz val="9"/>
            <color indexed="81"/>
            <rFont val="Tahoma"/>
            <family val="2"/>
          </rPr>
          <t>&lt;[[TCDeals] - [TC Property Current Stage (Seq: 1)] - [Acquisition Property Costs (Seq: 1)] Acq Addl Cost 12 - Send]&gt;</t>
        </r>
      </text>
    </comment>
    <comment ref="O24" authorId="0" shapeId="0" xr:uid="{00000000-0006-0000-0800-000029000000}">
      <text>
        <r>
          <rPr>
            <b/>
            <sz val="9"/>
            <color indexed="81"/>
            <rFont val="Tahoma"/>
            <family val="2"/>
          </rPr>
          <t>&lt;[[TCDeals] - [TC Property Current Stage (Seq: 1)] Additional Costs 13 - Send]&gt;</t>
        </r>
      </text>
    </comment>
    <comment ref="Q24" authorId="0" shapeId="0" xr:uid="{00000000-0006-0000-0800-00002A000000}">
      <text>
        <r>
          <rPr>
            <b/>
            <sz val="9"/>
            <color indexed="81"/>
            <rFont val="Tahoma"/>
            <family val="2"/>
          </rPr>
          <t>&lt;[[TCDeals] - [TC Property Current Stage (Seq: 1)] - [Actual Property Costs (Seq: 1)] Actual Addl Cost 13 - Send]&gt;</t>
        </r>
      </text>
    </comment>
    <comment ref="S24" authorId="0" shapeId="0" xr:uid="{00000000-0006-0000-0800-00002B000000}">
      <text>
        <r>
          <rPr>
            <b/>
            <sz val="9"/>
            <color indexed="81"/>
            <rFont val="Tahoma"/>
            <family val="2"/>
          </rPr>
          <t>&lt;[[TCDeals] - [TC Property Current Stage (Seq: 1)] - [PVC Property Costs (Seq: 1)] PVC Addl Cost 13 - Send]&gt;</t>
        </r>
      </text>
    </comment>
    <comment ref="U24" authorId="0" shapeId="0" xr:uid="{00000000-0006-0000-0800-00002C000000}">
      <text>
        <r>
          <rPr>
            <b/>
            <sz val="9"/>
            <color indexed="81"/>
            <rFont val="Tahoma"/>
            <family val="2"/>
          </rPr>
          <t>&lt;[[TCDeals] - [TC Property Current Stage (Seq: 1)] - [Acquisition Property Costs (Seq: 1)] Acq Addl Cost 13 - Send]&gt;</t>
        </r>
      </text>
    </comment>
    <comment ref="O25" authorId="0" shapeId="0" xr:uid="{00000000-0006-0000-0800-00002D000000}">
      <text>
        <r>
          <rPr>
            <b/>
            <sz val="9"/>
            <color indexed="81"/>
            <rFont val="Tahoma"/>
            <family val="2"/>
          </rPr>
          <t>&lt;[[TCDeals] - [TC Property Current Stage (Seq: 1)] Additional Costs 14 - Send]&gt;</t>
        </r>
      </text>
    </comment>
    <comment ref="Q25" authorId="0" shapeId="0" xr:uid="{00000000-0006-0000-0800-00002E000000}">
      <text>
        <r>
          <rPr>
            <b/>
            <sz val="9"/>
            <color indexed="81"/>
            <rFont val="Tahoma"/>
            <family val="2"/>
          </rPr>
          <t>&lt;[[TCDeals] - [TC Property Current Stage (Seq: 1)] - [Actual Property Costs (Seq: 1)] Actual Addl Cost 14 - Send]&gt;</t>
        </r>
      </text>
    </comment>
    <comment ref="S25" authorId="0" shapeId="0" xr:uid="{00000000-0006-0000-0800-00002F000000}">
      <text>
        <r>
          <rPr>
            <b/>
            <sz val="9"/>
            <color indexed="81"/>
            <rFont val="Tahoma"/>
            <family val="2"/>
          </rPr>
          <t>&lt;[[TCDeals] - [TC Property Current Stage (Seq: 1)] - [PVC Property Costs (Seq: 1)] PVC Addl Cost 14 - Send]&gt;</t>
        </r>
      </text>
    </comment>
    <comment ref="U25" authorId="0" shapeId="0" xr:uid="{00000000-0006-0000-0800-000030000000}">
      <text>
        <r>
          <rPr>
            <b/>
            <sz val="9"/>
            <color indexed="81"/>
            <rFont val="Tahoma"/>
            <family val="2"/>
          </rPr>
          <t>&lt;[[TCDeals] - [TC Property Current Stage (Seq: 1)] - [Acquisition Property Costs (Seq: 1)] Acq Addl Cost 14 - Send]&gt;</t>
        </r>
      </text>
    </comment>
    <comment ref="O26" authorId="0" shapeId="0" xr:uid="{00000000-0006-0000-0800-000031000000}">
      <text>
        <r>
          <rPr>
            <b/>
            <sz val="9"/>
            <color indexed="81"/>
            <rFont val="Tahoma"/>
            <family val="2"/>
          </rPr>
          <t>&lt;[[TCDeals] - [TC Property Current Stage (Seq: 1)] Additional Costs 15 - Send]&gt;</t>
        </r>
      </text>
    </comment>
    <comment ref="Q26" authorId="0" shapeId="0" xr:uid="{00000000-0006-0000-0800-000032000000}">
      <text>
        <r>
          <rPr>
            <b/>
            <sz val="9"/>
            <color indexed="81"/>
            <rFont val="Tahoma"/>
            <family val="2"/>
          </rPr>
          <t>&lt;[[TCDeals] - [TC Property Current Stage (Seq: 1)] - [Actual Property Costs (Seq: 1)] Actual Addl Cost 15 - Send]&gt;</t>
        </r>
      </text>
    </comment>
    <comment ref="S26" authorId="0" shapeId="0" xr:uid="{00000000-0006-0000-0800-000033000000}">
      <text>
        <r>
          <rPr>
            <b/>
            <sz val="9"/>
            <color indexed="81"/>
            <rFont val="Tahoma"/>
            <family val="2"/>
          </rPr>
          <t>&lt;[[TCDeals] - [TC Property Current Stage (Seq: 1)] - [PVC Property Costs (Seq: 1)] PVC Addl Cost 15 - Send]&gt;</t>
        </r>
      </text>
    </comment>
    <comment ref="U26" authorId="0" shapeId="0" xr:uid="{00000000-0006-0000-0800-000034000000}">
      <text>
        <r>
          <rPr>
            <b/>
            <sz val="9"/>
            <color indexed="81"/>
            <rFont val="Tahoma"/>
            <family val="2"/>
          </rPr>
          <t>&lt;[[TCDeals] - [TC Property Current Stage (Seq: 1)] - [Acquisition Property Costs (Seq: 1)] Acq Addl Cost 15 - Send]&gt;</t>
        </r>
      </text>
    </comment>
    <comment ref="O27" authorId="0" shapeId="0" xr:uid="{00000000-0006-0000-0800-000035000000}">
      <text>
        <r>
          <rPr>
            <b/>
            <sz val="9"/>
            <color indexed="81"/>
            <rFont val="Tahoma"/>
            <family val="2"/>
          </rPr>
          <t>&lt;[[TCDeals] - [TC Property Current Stage (Seq: 1)] Additional Costs 16 - Send]&gt;</t>
        </r>
      </text>
    </comment>
    <comment ref="Q27" authorId="0" shapeId="0" xr:uid="{00000000-0006-0000-0800-000036000000}">
      <text>
        <r>
          <rPr>
            <b/>
            <sz val="9"/>
            <color indexed="81"/>
            <rFont val="Tahoma"/>
            <family val="2"/>
          </rPr>
          <t>&lt;[[TCDeals] - [TC Property Current Stage (Seq: 1)] - [Actual Property Costs (Seq: 1)] Actual Addl Cost 16 - Send]&gt;</t>
        </r>
      </text>
    </comment>
    <comment ref="S27" authorId="0" shapeId="0" xr:uid="{00000000-0006-0000-0800-000037000000}">
      <text>
        <r>
          <rPr>
            <b/>
            <sz val="9"/>
            <color indexed="81"/>
            <rFont val="Tahoma"/>
            <family val="2"/>
          </rPr>
          <t>&lt;[[TCDeals] - [TC Property Current Stage (Seq: 1)] - [PVC Property Costs (Seq: 1)] PVC Addl Cost 16 - Send]&gt;</t>
        </r>
      </text>
    </comment>
    <comment ref="U27" authorId="0" shapeId="0" xr:uid="{00000000-0006-0000-0800-000038000000}">
      <text>
        <r>
          <rPr>
            <b/>
            <sz val="9"/>
            <color indexed="81"/>
            <rFont val="Tahoma"/>
            <family val="2"/>
          </rPr>
          <t>&lt;[[TCDeals] - [TC Property Current Stage (Seq: 1)] - [Acquisition Property Costs (Seq: 1)] Acq Addl Cost 16 - Send]&gt;</t>
        </r>
      </text>
    </comment>
    <comment ref="O28" authorId="0" shapeId="0" xr:uid="{00000000-0006-0000-0800-000039000000}">
      <text>
        <r>
          <rPr>
            <b/>
            <sz val="9"/>
            <color indexed="81"/>
            <rFont val="Tahoma"/>
            <family val="2"/>
          </rPr>
          <t>&lt;[[TCDeals] - [TC Property Current Stage (Seq: 1)] Additional Costs 17 - Send]&gt;</t>
        </r>
      </text>
    </comment>
    <comment ref="Q28" authorId="0" shapeId="0" xr:uid="{00000000-0006-0000-0800-00003A000000}">
      <text>
        <r>
          <rPr>
            <b/>
            <sz val="9"/>
            <color indexed="81"/>
            <rFont val="Tahoma"/>
            <family val="2"/>
          </rPr>
          <t>&lt;[[TCDeals] - [TC Property Current Stage (Seq: 1)] - [Actual Property Costs (Seq: 1)] Actual Addl Cost 17 - Send]&gt;</t>
        </r>
      </text>
    </comment>
    <comment ref="S28" authorId="0" shapeId="0" xr:uid="{00000000-0006-0000-0800-00003B000000}">
      <text>
        <r>
          <rPr>
            <b/>
            <sz val="9"/>
            <color indexed="81"/>
            <rFont val="Tahoma"/>
            <family val="2"/>
          </rPr>
          <t>&lt;[[TCDeals] - [TC Property Current Stage (Seq: 1)] - [PVC Property Costs (Seq: 1)] PVC Addl Cost 17 - Send]&gt;</t>
        </r>
      </text>
    </comment>
    <comment ref="U28" authorId="0" shapeId="0" xr:uid="{00000000-0006-0000-0800-00003C000000}">
      <text>
        <r>
          <rPr>
            <b/>
            <sz val="9"/>
            <color indexed="81"/>
            <rFont val="Tahoma"/>
            <family val="2"/>
          </rPr>
          <t>&lt;[[TCDeals] - [TC Property Current Stage (Seq: 1)] - [Acquisition Property Costs (Seq: 1)] Acq Addl Cost 17 - Send]&gt;</t>
        </r>
      </text>
    </comment>
    <comment ref="O29" authorId="0" shapeId="0" xr:uid="{00000000-0006-0000-0800-00003D000000}">
      <text>
        <r>
          <rPr>
            <b/>
            <sz val="9"/>
            <color indexed="81"/>
            <rFont val="Tahoma"/>
            <family val="2"/>
          </rPr>
          <t>&lt;[[TCDeals] - [TC Property Current Stage (Seq: 1)] Additional Costs 18 - Send]&gt;</t>
        </r>
      </text>
    </comment>
    <comment ref="Q29" authorId="0" shapeId="0" xr:uid="{00000000-0006-0000-0800-00003E000000}">
      <text>
        <r>
          <rPr>
            <b/>
            <sz val="9"/>
            <color indexed="81"/>
            <rFont val="Tahoma"/>
            <family val="2"/>
          </rPr>
          <t>&lt;[[TCDeals] - [TC Property Current Stage (Seq: 1)] - [Actual Property Costs (Seq: 1)] Actual Addl Cost 18 - Send]&gt;</t>
        </r>
      </text>
    </comment>
    <comment ref="S29" authorId="0" shapeId="0" xr:uid="{00000000-0006-0000-0800-00003F000000}">
      <text>
        <r>
          <rPr>
            <b/>
            <sz val="9"/>
            <color indexed="81"/>
            <rFont val="Tahoma"/>
            <family val="2"/>
          </rPr>
          <t>&lt;[[TCDeals] - [TC Property Current Stage (Seq: 1)] - [PVC Property Costs (Seq: 1)] PVC Addl Cost 18 - Send]&gt;</t>
        </r>
      </text>
    </comment>
    <comment ref="U29" authorId="0" shapeId="0" xr:uid="{00000000-0006-0000-0800-000040000000}">
      <text>
        <r>
          <rPr>
            <b/>
            <sz val="9"/>
            <color indexed="81"/>
            <rFont val="Tahoma"/>
            <family val="2"/>
          </rPr>
          <t>&lt;[[TCDeals] - [TC Property Current Stage (Seq: 1)] - [Acquisition Property Costs (Seq: 1)] Acq Addl Cost 18 - Send]&gt;</t>
        </r>
      </text>
    </comment>
    <comment ref="O30" authorId="0" shapeId="0" xr:uid="{00000000-0006-0000-0800-000041000000}">
      <text>
        <r>
          <rPr>
            <b/>
            <sz val="9"/>
            <color indexed="81"/>
            <rFont val="Tahoma"/>
            <family val="2"/>
          </rPr>
          <t>&lt;[[TCDeals] - [TC Property Current Stage (Seq: 1)] Additional Costs 19 - Send]&gt;</t>
        </r>
      </text>
    </comment>
    <comment ref="Q30" authorId="0" shapeId="0" xr:uid="{00000000-0006-0000-0800-000042000000}">
      <text>
        <r>
          <rPr>
            <b/>
            <sz val="9"/>
            <color indexed="81"/>
            <rFont val="Tahoma"/>
            <family val="2"/>
          </rPr>
          <t>&lt;[[TCDeals] - [TC Property Current Stage (Seq: 1)] - [Actual Property Costs (Seq: 1)] Actual Addl Cost 19 - Send]&gt;</t>
        </r>
      </text>
    </comment>
    <comment ref="S30" authorId="0" shapeId="0" xr:uid="{00000000-0006-0000-0800-000043000000}">
      <text>
        <r>
          <rPr>
            <b/>
            <sz val="9"/>
            <color indexed="81"/>
            <rFont val="Tahoma"/>
            <family val="2"/>
          </rPr>
          <t>&lt;[[TCDeals] - [TC Property Current Stage (Seq: 1)] - [PVC Property Costs (Seq: 1)] PVC Addl Cost 19 - Send]&gt;</t>
        </r>
      </text>
    </comment>
    <comment ref="U30" authorId="0" shapeId="0" xr:uid="{00000000-0006-0000-0800-000044000000}">
      <text>
        <r>
          <rPr>
            <b/>
            <sz val="9"/>
            <color indexed="81"/>
            <rFont val="Tahoma"/>
            <family val="2"/>
          </rPr>
          <t>&lt;[[TCDeals] - [TC Property Current Stage (Seq: 1)] - [Acquisition Property Costs (Seq: 1)] Acq Addl Cost 19 - Send]&gt;</t>
        </r>
      </text>
    </comment>
    <comment ref="O31" authorId="0" shapeId="0" xr:uid="{00000000-0006-0000-0800-000045000000}">
      <text>
        <r>
          <rPr>
            <b/>
            <sz val="9"/>
            <color indexed="81"/>
            <rFont val="Tahoma"/>
            <family val="2"/>
          </rPr>
          <t>&lt;[[TCDeals] - [TC Property Current Stage (Seq: 1)] Additional Costs 20 - Send]&gt;</t>
        </r>
      </text>
    </comment>
    <comment ref="Q31" authorId="0" shapeId="0" xr:uid="{00000000-0006-0000-0800-000046000000}">
      <text>
        <r>
          <rPr>
            <b/>
            <sz val="9"/>
            <color indexed="81"/>
            <rFont val="Tahoma"/>
            <family val="2"/>
          </rPr>
          <t>&lt;[[TCDeals] - [TC Property Current Stage (Seq: 1)] - [Actual Property Costs (Seq: 1)] Actual Addl Cost 20 - Send]&gt;</t>
        </r>
      </text>
    </comment>
    <comment ref="S31" authorId="0" shapeId="0" xr:uid="{00000000-0006-0000-0800-000047000000}">
      <text>
        <r>
          <rPr>
            <b/>
            <sz val="9"/>
            <color indexed="81"/>
            <rFont val="Tahoma"/>
            <family val="2"/>
          </rPr>
          <t>&lt;[[TCDeals] - [TC Property Current Stage (Seq: 1)] - [PVC Property Costs (Seq: 1)] PVC Addl Cost 20 - Send]&gt;</t>
        </r>
      </text>
    </comment>
    <comment ref="U31" authorId="0" shapeId="0" xr:uid="{00000000-0006-0000-0800-000048000000}">
      <text>
        <r>
          <rPr>
            <b/>
            <sz val="9"/>
            <color indexed="81"/>
            <rFont val="Tahoma"/>
            <family val="2"/>
          </rPr>
          <t>&lt;[[TCDeals] - [TC Property Current Stage (Seq: 1)] - [Acquisition Property Costs (Seq: 1)] Acq Addl Cost 20 - Send]&gt;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Michelle Wilshere</author>
    <author>LIHTCP12</author>
  </authors>
  <commentList>
    <comment ref="D7" authorId="0" shapeId="0" xr:uid="{00000000-0006-0000-0900-000001000000}">
      <text>
        <r>
          <rPr>
            <sz val="9"/>
            <color indexed="81"/>
            <rFont val="Tahoma"/>
            <family val="2"/>
          </rPr>
          <t>Calculates percentage based upon amount entered on Line 9 below.</t>
        </r>
      </text>
    </comment>
    <comment ref="M11" authorId="1" shapeId="0" xr:uid="{00000000-0006-0000-0900-000002000000}">
      <text>
        <r>
          <rPr>
            <b/>
            <sz val="9"/>
            <color indexed="81"/>
            <rFont val="Tahoma"/>
            <family val="2"/>
          </rPr>
          <t>&lt;[[TCDeals] - [TC Property Current Stage (Seq: 1)] Is QCT - Send]&gt;</t>
        </r>
      </text>
    </comment>
    <comment ref="M13" authorId="1" shapeId="0" xr:uid="{00000000-0006-0000-0900-000003000000}">
      <text>
        <r>
          <rPr>
            <b/>
            <sz val="9"/>
            <color indexed="81"/>
            <rFont val="Tahoma"/>
            <family val="2"/>
          </rPr>
          <t>&lt;[[TCDeals] - [TC Property Current Stage (Seq: 1)] Is DDA - Send]&gt;</t>
        </r>
      </text>
    </comment>
    <comment ref="M28" authorId="1" shapeId="0" xr:uid="{00000000-0006-0000-0900-000004000000}">
      <text>
        <r>
          <rPr>
            <b/>
            <sz val="9"/>
            <color indexed="81"/>
            <rFont val="Tahoma"/>
            <family val="2"/>
          </rPr>
          <t>&lt;[[TCDeals] - [TC Property Current Stage (Seq: 1)] - [PVC Property Costs (Seq: 1)] Costs of Non Qual Units - Send]&gt;</t>
        </r>
      </text>
    </comment>
    <comment ref="O28" authorId="1" shapeId="0" xr:uid="{00000000-0006-0000-0900-000005000000}">
      <text>
        <r>
          <rPr>
            <b/>
            <sz val="9"/>
            <color indexed="81"/>
            <rFont val="Tahoma"/>
            <family val="2"/>
          </rPr>
          <t>&lt;[[TCDeals] - [TC Property Current Stage (Seq: 1)] - [Acquisition Property Costs (Seq: 1)] Costs of Non Qual Units - Send]&gt;</t>
        </r>
      </text>
    </comment>
    <comment ref="M30" authorId="1" shapeId="0" xr:uid="{00000000-0006-0000-0900-000006000000}">
      <text>
        <r>
          <rPr>
            <b/>
            <sz val="9"/>
            <color indexed="81"/>
            <rFont val="Tahoma"/>
            <family val="2"/>
          </rPr>
          <t>&lt;[[TCDeals] - [TC Property Current Stage (Seq: 1)] - [PVC Property Costs (Seq: 1)] Fed Grant Financing - Send]&gt;</t>
        </r>
      </text>
    </comment>
    <comment ref="O30" authorId="1" shapeId="0" xr:uid="{00000000-0006-0000-0900-000007000000}">
      <text>
        <r>
          <rPr>
            <b/>
            <sz val="9"/>
            <color indexed="81"/>
            <rFont val="Tahoma"/>
            <family val="2"/>
          </rPr>
          <t>&lt;[[TCDeals] - [TC Property Current Stage (Seq: 1)] - [Acquisition Property Costs (Seq: 1)] Fed Grant Financing - Send]&gt;</t>
        </r>
      </text>
    </comment>
    <comment ref="M31" authorId="1" shapeId="0" xr:uid="{00000000-0006-0000-0900-000008000000}">
      <text>
        <r>
          <rPr>
            <b/>
            <sz val="9"/>
            <color indexed="81"/>
            <rFont val="Tahoma"/>
            <family val="2"/>
          </rPr>
          <t>&lt;[[TCDeals] - [TC Property Current Stage (Seq: 1)] - [PVC Property Costs (Seq: 1)] Historic TC Residential - Send]&gt;</t>
        </r>
      </text>
    </comment>
    <comment ref="O31" authorId="1" shapeId="0" xr:uid="{00000000-0006-0000-0900-000009000000}">
      <text>
        <r>
          <rPr>
            <b/>
            <sz val="9"/>
            <color indexed="81"/>
            <rFont val="Tahoma"/>
            <family val="2"/>
          </rPr>
          <t>&lt;[[TCDeals] - [TC Property Current Stage (Seq: 1)] - [Acquisition Property Costs (Seq: 1)] Historic TC Residential - Send]&gt;</t>
        </r>
      </text>
    </comment>
    <comment ref="M32" authorId="1" shapeId="0" xr:uid="{00000000-0006-0000-0900-00000A000000}">
      <text>
        <r>
          <rPr>
            <b/>
            <sz val="9"/>
            <color indexed="81"/>
            <rFont val="Tahoma"/>
            <family val="2"/>
          </rPr>
          <t>&lt;[[TCDeals] - [TC Property Current Stage (Seq: 1)] - [PVC Property Costs (Seq: 1)] Non Qual Financing - Send]&gt;</t>
        </r>
      </text>
    </comment>
    <comment ref="O32" authorId="1" shapeId="0" xr:uid="{00000000-0006-0000-0900-00000B000000}">
      <text>
        <r>
          <rPr>
            <b/>
            <sz val="9"/>
            <color indexed="81"/>
            <rFont val="Tahoma"/>
            <family val="2"/>
          </rPr>
          <t>&lt;[[TCDeals] - [TC Property Current Stage (Seq: 1)] - [Acquisition Property Costs (Seq: 1)] Non Qual Financing - Send]&gt;</t>
        </r>
      </text>
    </comment>
    <comment ref="M35" authorId="1" shapeId="0" xr:uid="{00000000-0006-0000-0900-00000C000000}">
      <text>
        <r>
          <rPr>
            <b/>
            <sz val="9"/>
            <color indexed="81"/>
            <rFont val="Tahoma"/>
            <family val="2"/>
          </rPr>
          <t>&lt;[[TCDeals] - [TC Property Current Stage (Seq: 1)] - [PVC Property Costs (Seq: 1)] Adj to Elig Basis - Send]&gt;</t>
        </r>
      </text>
    </comment>
    <comment ref="M42" authorId="1" shapeId="0" xr:uid="{00000000-0006-0000-0900-00000D000000}">
      <text>
        <r>
          <rPr>
            <b/>
            <sz val="9"/>
            <color indexed="81"/>
            <rFont val="Tahoma"/>
            <family val="2"/>
          </rPr>
          <t>&lt;[[TCDeals] - [TC Property Current Stage (Seq: 1)] - [PVC Property Costs (Seq: 1)] Applicable Fraction - Send]&gt;</t>
        </r>
      </text>
    </comment>
    <comment ref="O42" authorId="0" shapeId="0" xr:uid="{00000000-0006-0000-0900-00000E000000}">
      <text>
        <r>
          <rPr>
            <b/>
            <sz val="9"/>
            <color indexed="81"/>
            <rFont val="Tahoma"/>
            <family val="2"/>
          </rPr>
          <t>&lt;[[TCDeals] - [TC Property Current Stage (Seq: 1)] - [Acquisition Property Costs (Seq: 1)] Applicable Fraction - Send]&gt;</t>
        </r>
      </text>
    </comment>
    <comment ref="M50" authorId="1" shapeId="0" xr:uid="{00000000-0006-0000-0900-00000F000000}">
      <text>
        <r>
          <rPr>
            <b/>
            <sz val="9"/>
            <color indexed="81"/>
            <rFont val="Tahoma"/>
            <family val="2"/>
          </rPr>
          <t>&lt;[[TCDeals] - [TC Property Current Stage (Seq: 1)] - [PVC Property Costs (Seq: 1)] Applicabale Percentage - Send]&gt;</t>
        </r>
      </text>
    </comment>
    <comment ref="O50" authorId="1" shapeId="0" xr:uid="{00000000-0006-0000-0900-000010000000}">
      <text>
        <r>
          <rPr>
            <b/>
            <sz val="9"/>
            <color indexed="81"/>
            <rFont val="Tahoma"/>
            <family val="2"/>
          </rPr>
          <t>&lt;[[TCDeals] - [TC Property Current Stage (Seq: 1)] - [Acquisition Property Costs (Seq: 1)] Applicabale Percentage - Send]&gt;</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12" authorId="0" shapeId="0" xr:uid="{00000000-0006-0000-0A00-000001000000}">
      <text>
        <r>
          <rPr>
            <b/>
            <sz val="9"/>
            <color indexed="81"/>
            <rFont val="Tahoma"/>
            <family val="2"/>
          </rPr>
          <t>&lt;[[TCDeals] - [TC Property Current Stage (Seq: 1)] - [Buildings (Seq: 1)] PVC Est Qual Basis - Send]&gt;</t>
        </r>
      </text>
    </comment>
    <comment ref="P12" authorId="0" shapeId="0" xr:uid="{00000000-0006-0000-0A00-000002000000}">
      <text>
        <r>
          <rPr>
            <b/>
            <sz val="9"/>
            <color indexed="81"/>
            <rFont val="Tahoma"/>
            <family val="2"/>
          </rPr>
          <t>&lt;[[TCDeals] - [TC Property Current Stage (Seq: 1)] - [Buildings (Seq: 1)] Acq Est Qual Basis - Send]&gt;</t>
        </r>
      </text>
    </comment>
    <comment ref="N13" authorId="0" shapeId="0" xr:uid="{00000000-0006-0000-0A00-000003000000}">
      <text>
        <r>
          <rPr>
            <b/>
            <sz val="9"/>
            <color indexed="81"/>
            <rFont val="Tahoma"/>
            <family val="2"/>
          </rPr>
          <t>&lt;[[TCDeals] - [TC Property Current Stage (Seq: 1)] - [Buildings (Seq: 1)] PVC Applicable Percentage - Send]&gt;</t>
        </r>
      </text>
    </comment>
    <comment ref="P13" authorId="0" shapeId="0" xr:uid="{00000000-0006-0000-0A00-000004000000}">
      <text>
        <r>
          <rPr>
            <b/>
            <sz val="9"/>
            <color indexed="81"/>
            <rFont val="Tahoma"/>
            <family val="2"/>
          </rPr>
          <t>&lt;[[TCDeals] - [TC Property Current Stage (Seq: 1)] - [Buildings (Seq: 1)] Acq Applicable Percentage - Send]&gt;</t>
        </r>
      </text>
    </comment>
    <comment ref="N14" authorId="0" shapeId="0" xr:uid="{00000000-0006-0000-0A00-000005000000}">
      <text>
        <r>
          <rPr>
            <b/>
            <sz val="9"/>
            <color indexed="81"/>
            <rFont val="Tahoma"/>
            <family val="2"/>
          </rPr>
          <t>&lt;[[TCDeals] - [TC Property Current Stage (Seq: 1)] - [Buildings (Seq: 1)] PVC Credit Amount - Send]&gt;</t>
        </r>
      </text>
    </comment>
    <comment ref="P14" authorId="0" shapeId="0" xr:uid="{00000000-0006-0000-0A00-000006000000}">
      <text>
        <r>
          <rPr>
            <b/>
            <sz val="9"/>
            <color indexed="81"/>
            <rFont val="Tahoma"/>
            <family val="2"/>
          </rPr>
          <t>&lt;[[TCDeals] - [TC Property Current Stage (Seq: 1)] - [Buildings (Seq: 1)] Acq Credit Amount - Send]&gt;</t>
        </r>
      </text>
    </comment>
    <comment ref="N16" authorId="0" shapeId="0" xr:uid="{00000000-0006-0000-0A00-000007000000}">
      <text>
        <r>
          <rPr>
            <b/>
            <sz val="9"/>
            <color indexed="81"/>
            <rFont val="Tahoma"/>
            <family val="2"/>
          </rPr>
          <t>&lt;[[TCDeals] - [TC Property Current Stage (Seq: 1)] - [Buildings (Seq: 2)] PVC Est Qual Basis - Send]&gt;</t>
        </r>
      </text>
    </comment>
    <comment ref="P16" authorId="0" shapeId="0" xr:uid="{00000000-0006-0000-0A00-000008000000}">
      <text>
        <r>
          <rPr>
            <b/>
            <sz val="9"/>
            <color indexed="81"/>
            <rFont val="Tahoma"/>
            <family val="2"/>
          </rPr>
          <t>&lt;[[TCDeals] - [TC Property Current Stage (Seq: 1)] - [Buildings (Seq: 2)] Acq Est Qual Basis - Send]&gt;</t>
        </r>
      </text>
    </comment>
    <comment ref="N17" authorId="0" shapeId="0" xr:uid="{00000000-0006-0000-0A00-000009000000}">
      <text>
        <r>
          <rPr>
            <b/>
            <sz val="9"/>
            <color indexed="81"/>
            <rFont val="Tahoma"/>
            <family val="2"/>
          </rPr>
          <t>&lt;[[TCDeals] - [TC Property Current Stage (Seq: 1)] - [Buildings (Seq: 2)] PVC Applicable Percentage - Send]&gt;</t>
        </r>
      </text>
    </comment>
    <comment ref="P17" authorId="0" shapeId="0" xr:uid="{00000000-0006-0000-0A00-00000A000000}">
      <text>
        <r>
          <rPr>
            <b/>
            <sz val="9"/>
            <color indexed="81"/>
            <rFont val="Tahoma"/>
            <family val="2"/>
          </rPr>
          <t>&lt;[[TCDeals] - [TC Property Current Stage (Seq: 1)] - [Buildings (Seq: 2)] Acq Applicable Percentage - Send]&gt;</t>
        </r>
      </text>
    </comment>
    <comment ref="N18" authorId="0" shapeId="0" xr:uid="{00000000-0006-0000-0A00-00000B000000}">
      <text>
        <r>
          <rPr>
            <b/>
            <sz val="9"/>
            <color indexed="81"/>
            <rFont val="Tahoma"/>
            <family val="2"/>
          </rPr>
          <t>&lt;[[TCDeals] - [TC Property Current Stage (Seq: 1)] - [Buildings (Seq: 2)] PVC Credit Amount - Send]&gt;</t>
        </r>
      </text>
    </comment>
    <comment ref="P18" authorId="0" shapeId="0" xr:uid="{00000000-0006-0000-0A00-00000C000000}">
      <text>
        <r>
          <rPr>
            <b/>
            <sz val="9"/>
            <color indexed="81"/>
            <rFont val="Tahoma"/>
            <family val="2"/>
          </rPr>
          <t>&lt;[[TCDeals] - [TC Property Current Stage (Seq: 1)] - [Buildings (Seq: 2)] Acq Credit Amount - Send]&gt;</t>
        </r>
      </text>
    </comment>
    <comment ref="N20" authorId="0" shapeId="0" xr:uid="{00000000-0006-0000-0A00-00000D000000}">
      <text>
        <r>
          <rPr>
            <b/>
            <sz val="9"/>
            <color indexed="81"/>
            <rFont val="Tahoma"/>
            <family val="2"/>
          </rPr>
          <t>&lt;[[TCDeals] - [TC Property Current Stage (Seq: 1)] - [Buildings (Seq: 3)] PVC Est Qual Basis - Send]&gt;</t>
        </r>
      </text>
    </comment>
    <comment ref="P20" authorId="0" shapeId="0" xr:uid="{00000000-0006-0000-0A00-00000E000000}">
      <text>
        <r>
          <rPr>
            <b/>
            <sz val="9"/>
            <color indexed="81"/>
            <rFont val="Tahoma"/>
            <family val="2"/>
          </rPr>
          <t>&lt;[[TCDeals] - [TC Property Current Stage (Seq: 1)] - [Buildings (Seq: 3)] Acq Est Qual Basis - Send]&gt;</t>
        </r>
      </text>
    </comment>
    <comment ref="N21" authorId="0" shapeId="0" xr:uid="{00000000-0006-0000-0A00-00000F000000}">
      <text>
        <r>
          <rPr>
            <b/>
            <sz val="9"/>
            <color indexed="81"/>
            <rFont val="Tahoma"/>
            <family val="2"/>
          </rPr>
          <t>&lt;[[TCDeals] - [TC Property Current Stage (Seq: 1)] - [Buildings (Seq: 3)] PVC Applicable Percentage - Send]&gt;</t>
        </r>
      </text>
    </comment>
    <comment ref="P21" authorId="0" shapeId="0" xr:uid="{00000000-0006-0000-0A00-000010000000}">
      <text>
        <r>
          <rPr>
            <b/>
            <sz val="9"/>
            <color indexed="81"/>
            <rFont val="Tahoma"/>
            <family val="2"/>
          </rPr>
          <t>&lt;[[TCDeals] - [TC Property Current Stage (Seq: 1)] - [Buildings (Seq: 3)] Acq Applicable Percentage - Send]&gt;</t>
        </r>
      </text>
    </comment>
    <comment ref="N22" authorId="0" shapeId="0" xr:uid="{00000000-0006-0000-0A00-000011000000}">
      <text>
        <r>
          <rPr>
            <b/>
            <sz val="9"/>
            <color indexed="81"/>
            <rFont val="Tahoma"/>
            <family val="2"/>
          </rPr>
          <t>&lt;[[TCDeals] - [TC Property Current Stage (Seq: 1)] - [Buildings (Seq: 3)] PVC Credit Amount - Send]&gt;</t>
        </r>
      </text>
    </comment>
    <comment ref="P22" authorId="0" shapeId="0" xr:uid="{00000000-0006-0000-0A00-000012000000}">
      <text>
        <r>
          <rPr>
            <b/>
            <sz val="9"/>
            <color indexed="81"/>
            <rFont val="Tahoma"/>
            <family val="2"/>
          </rPr>
          <t>&lt;[[TCDeals] - [TC Property Current Stage (Seq: 1)] - [Buildings (Seq: 3)] Acq Credit Amount - Send]&gt;</t>
        </r>
      </text>
    </comment>
    <comment ref="N24" authorId="0" shapeId="0" xr:uid="{00000000-0006-0000-0A00-000013000000}">
      <text>
        <r>
          <rPr>
            <b/>
            <sz val="9"/>
            <color indexed="81"/>
            <rFont val="Tahoma"/>
            <family val="2"/>
          </rPr>
          <t>&lt;[[TCDeals] - [TC Property Current Stage (Seq: 1)] - [Buildings (Seq: 4)] PVC Est Qual Basis - Send]&gt;</t>
        </r>
      </text>
    </comment>
    <comment ref="P24" authorId="0" shapeId="0" xr:uid="{00000000-0006-0000-0A00-000014000000}">
      <text>
        <r>
          <rPr>
            <b/>
            <sz val="9"/>
            <color indexed="81"/>
            <rFont val="Tahoma"/>
            <family val="2"/>
          </rPr>
          <t>&lt;[[TCDeals] - [TC Property Current Stage (Seq: 1)] - [Buildings (Seq: 4)] Acq Est Qual Basis - Send]&gt;</t>
        </r>
      </text>
    </comment>
    <comment ref="N25" authorId="0" shapeId="0" xr:uid="{00000000-0006-0000-0A00-000015000000}">
      <text>
        <r>
          <rPr>
            <b/>
            <sz val="9"/>
            <color indexed="81"/>
            <rFont val="Tahoma"/>
            <family val="2"/>
          </rPr>
          <t>&lt;[[TCDeals] - [TC Property Current Stage (Seq: 1)] - [Buildings (Seq: 4)] PVC Applicable Percentage - Send]&gt;</t>
        </r>
      </text>
    </comment>
    <comment ref="P25" authorId="0" shapeId="0" xr:uid="{00000000-0006-0000-0A00-000016000000}">
      <text>
        <r>
          <rPr>
            <b/>
            <sz val="9"/>
            <color indexed="81"/>
            <rFont val="Tahoma"/>
            <family val="2"/>
          </rPr>
          <t>&lt;[[TCDeals] - [TC Property Current Stage (Seq: 1)] - [Buildings (Seq: 4)] Acq Applicable Percentage - Send]&gt;</t>
        </r>
      </text>
    </comment>
    <comment ref="N26" authorId="0" shapeId="0" xr:uid="{00000000-0006-0000-0A00-000017000000}">
      <text>
        <r>
          <rPr>
            <b/>
            <sz val="9"/>
            <color indexed="81"/>
            <rFont val="Tahoma"/>
            <family val="2"/>
          </rPr>
          <t>&lt;[[TCDeals] - [TC Property Current Stage (Seq: 1)] - [Buildings (Seq: 4)] PVC Credit Amount - Send]&gt;</t>
        </r>
      </text>
    </comment>
    <comment ref="P26" authorId="0" shapeId="0" xr:uid="{00000000-0006-0000-0A00-000018000000}">
      <text>
        <r>
          <rPr>
            <b/>
            <sz val="9"/>
            <color indexed="81"/>
            <rFont val="Tahoma"/>
            <family val="2"/>
          </rPr>
          <t>&lt;[[TCDeals] - [TC Property Current Stage (Seq: 1)] - [Buildings (Seq: 4)] Acq Credit Amount - Send]&gt;</t>
        </r>
      </text>
    </comment>
    <comment ref="N28" authorId="0" shapeId="0" xr:uid="{00000000-0006-0000-0A00-000019000000}">
      <text>
        <r>
          <rPr>
            <b/>
            <sz val="9"/>
            <color indexed="81"/>
            <rFont val="Tahoma"/>
            <family val="2"/>
          </rPr>
          <t>&lt;[[TCDeals] - [TC Property Current Stage (Seq: 1)] - [Buildings (Seq: 5)] PVC Est Qual Basis - Send]&gt;</t>
        </r>
      </text>
    </comment>
    <comment ref="P28" authorId="0" shapeId="0" xr:uid="{00000000-0006-0000-0A00-00001A000000}">
      <text>
        <r>
          <rPr>
            <b/>
            <sz val="9"/>
            <color indexed="81"/>
            <rFont val="Tahoma"/>
            <family val="2"/>
          </rPr>
          <t>&lt;[[TCDeals] - [TC Property Current Stage (Seq: 1)] - [Buildings (Seq: 5)] Acq Est Qual Basis - Send]&gt;</t>
        </r>
      </text>
    </comment>
    <comment ref="N29" authorId="0" shapeId="0" xr:uid="{00000000-0006-0000-0A00-00001B000000}">
      <text>
        <r>
          <rPr>
            <b/>
            <sz val="9"/>
            <color indexed="81"/>
            <rFont val="Tahoma"/>
            <family val="2"/>
          </rPr>
          <t>&lt;[[TCDeals] - [TC Property Current Stage (Seq: 1)] - [Buildings (Seq: 5)] PVC Applicable Percentage - Send]&gt;</t>
        </r>
      </text>
    </comment>
    <comment ref="P29" authorId="0" shapeId="0" xr:uid="{00000000-0006-0000-0A00-00001C000000}">
      <text>
        <r>
          <rPr>
            <b/>
            <sz val="9"/>
            <color indexed="81"/>
            <rFont val="Tahoma"/>
            <family val="2"/>
          </rPr>
          <t>&lt;[[TCDeals] - [TC Property Current Stage (Seq: 1)] - [Buildings (Seq: 5)] Acq Applicable Percentage - Send]&gt;</t>
        </r>
      </text>
    </comment>
    <comment ref="N30" authorId="0" shapeId="0" xr:uid="{00000000-0006-0000-0A00-00001D000000}">
      <text>
        <r>
          <rPr>
            <b/>
            <sz val="9"/>
            <color indexed="81"/>
            <rFont val="Tahoma"/>
            <family val="2"/>
          </rPr>
          <t>&lt;[[TCDeals] - [TC Property Current Stage (Seq: 1)] - [Buildings (Seq: 5)] PVC Credit Amount - Send]&gt;</t>
        </r>
      </text>
    </comment>
    <comment ref="P30" authorId="0" shapeId="0" xr:uid="{00000000-0006-0000-0A00-00001E000000}">
      <text>
        <r>
          <rPr>
            <b/>
            <sz val="9"/>
            <color indexed="81"/>
            <rFont val="Tahoma"/>
            <family val="2"/>
          </rPr>
          <t>&lt;[[TCDeals] - [TC Property Current Stage (Seq: 1)] - [Buildings (Seq: 5)] Acq Credit Amount - Send]&gt;</t>
        </r>
      </text>
    </comment>
    <comment ref="N32" authorId="0" shapeId="0" xr:uid="{00000000-0006-0000-0A00-00001F000000}">
      <text>
        <r>
          <rPr>
            <b/>
            <sz val="9"/>
            <color indexed="81"/>
            <rFont val="Tahoma"/>
            <family val="2"/>
          </rPr>
          <t>&lt;[[TCDeals] - [TC Property Current Stage (Seq: 1)] - [Buildings (Seq: 6)] PVC Est Qual Basis - Send]&gt;</t>
        </r>
      </text>
    </comment>
    <comment ref="P32" authorId="0" shapeId="0" xr:uid="{00000000-0006-0000-0A00-000020000000}">
      <text>
        <r>
          <rPr>
            <b/>
            <sz val="9"/>
            <color indexed="81"/>
            <rFont val="Tahoma"/>
            <family val="2"/>
          </rPr>
          <t>&lt;[[TCDeals] - [TC Property Current Stage (Seq: 1)] - [Buildings (Seq: 6)] Acq Est Qual Basis - Send]&gt;</t>
        </r>
      </text>
    </comment>
    <comment ref="N33" authorId="0" shapeId="0" xr:uid="{00000000-0006-0000-0A00-000021000000}">
      <text>
        <r>
          <rPr>
            <b/>
            <sz val="9"/>
            <color indexed="81"/>
            <rFont val="Tahoma"/>
            <family val="2"/>
          </rPr>
          <t>&lt;[[TCDeals] - [TC Property Current Stage (Seq: 1)] - [Buildings (Seq: 6)] PVC Applicable Percentage - Send]&gt;</t>
        </r>
      </text>
    </comment>
    <comment ref="P33" authorId="0" shapeId="0" xr:uid="{00000000-0006-0000-0A00-000022000000}">
      <text>
        <r>
          <rPr>
            <b/>
            <sz val="9"/>
            <color indexed="81"/>
            <rFont val="Tahoma"/>
            <family val="2"/>
          </rPr>
          <t>&lt;[[TCDeals] - [TC Property Current Stage (Seq: 1)] - [Buildings (Seq: 6)] Acq Applicable Percentage - Send]&gt;</t>
        </r>
      </text>
    </comment>
    <comment ref="N34" authorId="0" shapeId="0" xr:uid="{00000000-0006-0000-0A00-000023000000}">
      <text>
        <r>
          <rPr>
            <b/>
            <sz val="9"/>
            <color indexed="81"/>
            <rFont val="Tahoma"/>
            <family val="2"/>
          </rPr>
          <t>&lt;[[TCDeals] - [TC Property Current Stage (Seq: 1)] - [Buildings (Seq: 6)] PVC Credit Amount - Send]&gt;</t>
        </r>
      </text>
    </comment>
    <comment ref="P34" authorId="0" shapeId="0" xr:uid="{00000000-0006-0000-0A00-000024000000}">
      <text>
        <r>
          <rPr>
            <b/>
            <sz val="9"/>
            <color indexed="81"/>
            <rFont val="Tahoma"/>
            <family val="2"/>
          </rPr>
          <t>&lt;[[TCDeals] - [TC Property Current Stage (Seq: 1)] - [Buildings (Seq: 6)] Acq Credit Amount - Send]&gt;</t>
        </r>
      </text>
    </comment>
    <comment ref="N36" authorId="0" shapeId="0" xr:uid="{00000000-0006-0000-0A00-000025000000}">
      <text>
        <r>
          <rPr>
            <b/>
            <sz val="9"/>
            <color indexed="81"/>
            <rFont val="Tahoma"/>
            <family val="2"/>
          </rPr>
          <t>&lt;[[TCDeals] - [TC Property Current Stage (Seq: 1)] - [Buildings (Seq: 7)] PVC Est Qual Basis - Send]&gt;</t>
        </r>
      </text>
    </comment>
    <comment ref="P36" authorId="0" shapeId="0" xr:uid="{00000000-0006-0000-0A00-000026000000}">
      <text>
        <r>
          <rPr>
            <b/>
            <sz val="9"/>
            <color indexed="81"/>
            <rFont val="Tahoma"/>
            <family val="2"/>
          </rPr>
          <t>&lt;[[TCDeals] - [TC Property Current Stage (Seq: 1)] - [Buildings (Seq: 7)] Acq Est Qual Basis - Send]&gt;</t>
        </r>
      </text>
    </comment>
    <comment ref="N37" authorId="0" shapeId="0" xr:uid="{00000000-0006-0000-0A00-000027000000}">
      <text>
        <r>
          <rPr>
            <b/>
            <sz val="9"/>
            <color indexed="81"/>
            <rFont val="Tahoma"/>
            <family val="2"/>
          </rPr>
          <t>&lt;[[TCDeals] - [TC Property Current Stage (Seq: 1)] - [Buildings (Seq: 7)] PVC Applicable Percentage - Send]&gt;</t>
        </r>
      </text>
    </comment>
    <comment ref="P37" authorId="0" shapeId="0" xr:uid="{00000000-0006-0000-0A00-000028000000}">
      <text>
        <r>
          <rPr>
            <b/>
            <sz val="9"/>
            <color indexed="81"/>
            <rFont val="Tahoma"/>
            <family val="2"/>
          </rPr>
          <t>&lt;[[TCDeals] - [TC Property Current Stage (Seq: 1)] - [Buildings (Seq: 7)] Acq Applicable Percentage - Send]&gt;</t>
        </r>
      </text>
    </comment>
    <comment ref="N38" authorId="0" shapeId="0" xr:uid="{00000000-0006-0000-0A00-000029000000}">
      <text>
        <r>
          <rPr>
            <b/>
            <sz val="9"/>
            <color indexed="81"/>
            <rFont val="Tahoma"/>
            <family val="2"/>
          </rPr>
          <t>&lt;[[TCDeals] - [TC Property Current Stage (Seq: 1)] - [Buildings (Seq: 7)] PVC Credit Amount - Send]&gt;</t>
        </r>
      </text>
    </comment>
    <comment ref="P38" authorId="0" shapeId="0" xr:uid="{00000000-0006-0000-0A00-00002A000000}">
      <text>
        <r>
          <rPr>
            <b/>
            <sz val="9"/>
            <color indexed="81"/>
            <rFont val="Tahoma"/>
            <family val="2"/>
          </rPr>
          <t>&lt;[[TCDeals] - [TC Property Current Stage (Seq: 1)] - [Buildings (Seq: 7)] Acq Credit Amount - Send]&gt;</t>
        </r>
      </text>
    </comment>
    <comment ref="N40" authorId="0" shapeId="0" xr:uid="{00000000-0006-0000-0A00-00002B000000}">
      <text>
        <r>
          <rPr>
            <b/>
            <sz val="9"/>
            <color indexed="81"/>
            <rFont val="Tahoma"/>
            <family val="2"/>
          </rPr>
          <t>&lt;[[TCDeals] - [TC Property Current Stage (Seq: 1)] - [Buildings (Seq: 8)] PVC Est Qual Basis - Send]&gt;</t>
        </r>
      </text>
    </comment>
    <comment ref="P40" authorId="0" shapeId="0" xr:uid="{00000000-0006-0000-0A00-00002C000000}">
      <text>
        <r>
          <rPr>
            <b/>
            <sz val="9"/>
            <color indexed="81"/>
            <rFont val="Tahoma"/>
            <family val="2"/>
          </rPr>
          <t>&lt;[[TCDeals] - [TC Property Current Stage (Seq: 1)] - [Buildings (Seq: 8)] Acq Est Qual Basis - Send]&gt;</t>
        </r>
      </text>
    </comment>
    <comment ref="N41" authorId="0" shapeId="0" xr:uid="{00000000-0006-0000-0A00-00002D000000}">
      <text>
        <r>
          <rPr>
            <b/>
            <sz val="9"/>
            <color indexed="81"/>
            <rFont val="Tahoma"/>
            <family val="2"/>
          </rPr>
          <t>&lt;[[TCDeals] - [TC Property Current Stage (Seq: 1)] - [Buildings (Seq: 8)] PVC Applicable Percentage - Send]&gt;</t>
        </r>
      </text>
    </comment>
    <comment ref="P41" authorId="0" shapeId="0" xr:uid="{00000000-0006-0000-0A00-00002E000000}">
      <text>
        <r>
          <rPr>
            <b/>
            <sz val="9"/>
            <color indexed="81"/>
            <rFont val="Tahoma"/>
            <family val="2"/>
          </rPr>
          <t>&lt;[[TCDeals] - [TC Property Current Stage (Seq: 1)] - [Buildings (Seq: 8)] Acq Applicable Percentage - Send]&gt;</t>
        </r>
      </text>
    </comment>
    <comment ref="N42" authorId="0" shapeId="0" xr:uid="{00000000-0006-0000-0A00-00002F000000}">
      <text>
        <r>
          <rPr>
            <b/>
            <sz val="9"/>
            <color indexed="81"/>
            <rFont val="Tahoma"/>
            <family val="2"/>
          </rPr>
          <t>&lt;[[TCDeals] - [TC Property Current Stage (Seq: 1)] - [Buildings (Seq: 8)] PVC Credit Amount - Send]&gt;</t>
        </r>
      </text>
    </comment>
    <comment ref="P42" authorId="0" shapeId="0" xr:uid="{00000000-0006-0000-0A00-000030000000}">
      <text>
        <r>
          <rPr>
            <b/>
            <sz val="9"/>
            <color indexed="81"/>
            <rFont val="Tahoma"/>
            <family val="2"/>
          </rPr>
          <t>&lt;[[TCDeals] - [TC Property Current Stage (Seq: 1)] - [Buildings (Seq: 8)] Acq Credit Amount - Send]&gt;</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LIHTCP12</author>
  </authors>
  <commentList>
    <comment ref="N12" authorId="0" shapeId="0" xr:uid="{00000000-0006-0000-0B00-000001000000}">
      <text>
        <r>
          <rPr>
            <b/>
            <sz val="9"/>
            <color indexed="81"/>
            <rFont val="Tahoma"/>
            <family val="2"/>
          </rPr>
          <t>&lt;[[TCDeals] - [TC Property Current Stage (Seq: 1)] - [Buildings (Seq: 9)] PVC Est Qual Basis - Send]&gt;</t>
        </r>
      </text>
    </comment>
    <comment ref="P12" authorId="0" shapeId="0" xr:uid="{00000000-0006-0000-0B00-000002000000}">
      <text>
        <r>
          <rPr>
            <b/>
            <sz val="9"/>
            <color indexed="81"/>
            <rFont val="Tahoma"/>
            <family val="2"/>
          </rPr>
          <t>&lt;[[TCDeals] - [TC Property Current Stage (Seq: 1)] - [Buildings (Seq: 9)] Acq Est Qual Basis - Send]&gt;</t>
        </r>
      </text>
    </comment>
    <comment ref="N13" authorId="0" shapeId="0" xr:uid="{00000000-0006-0000-0B00-000003000000}">
      <text>
        <r>
          <rPr>
            <b/>
            <sz val="9"/>
            <color indexed="81"/>
            <rFont val="Tahoma"/>
            <family val="2"/>
          </rPr>
          <t>&lt;[[TCDeals] - [TC Property Current Stage (Seq: 1)] - [Buildings (Seq: 9)] PVC Applicable Percentage - Send]&gt;</t>
        </r>
      </text>
    </comment>
    <comment ref="P13" authorId="0" shapeId="0" xr:uid="{00000000-0006-0000-0B00-000004000000}">
      <text>
        <r>
          <rPr>
            <b/>
            <sz val="9"/>
            <color indexed="81"/>
            <rFont val="Tahoma"/>
            <family val="2"/>
          </rPr>
          <t>&lt;[[TCDeals] - [TC Property Current Stage (Seq: 1)] - [Buildings (Seq: 9)] Acq Applicable Percentage - Send]&gt;</t>
        </r>
      </text>
    </comment>
    <comment ref="N14" authorId="0" shapeId="0" xr:uid="{00000000-0006-0000-0B00-000005000000}">
      <text>
        <r>
          <rPr>
            <b/>
            <sz val="9"/>
            <color indexed="81"/>
            <rFont val="Tahoma"/>
            <family val="2"/>
          </rPr>
          <t>&lt;[[TCDeals] - [TC Property Current Stage (Seq: 1)] - [Buildings (Seq: 9)] PVC Credit Amount - Send]&gt;</t>
        </r>
      </text>
    </comment>
    <comment ref="P14" authorId="0" shapeId="0" xr:uid="{00000000-0006-0000-0B00-000006000000}">
      <text>
        <r>
          <rPr>
            <b/>
            <sz val="9"/>
            <color indexed="81"/>
            <rFont val="Tahoma"/>
            <family val="2"/>
          </rPr>
          <t>&lt;[[TCDeals] - [TC Property Current Stage (Seq: 1)] - [Buildings (Seq: 9)] Acq Credit Amount - Send]&gt;</t>
        </r>
      </text>
    </comment>
    <comment ref="N16" authorId="0" shapeId="0" xr:uid="{00000000-0006-0000-0B00-000007000000}">
      <text>
        <r>
          <rPr>
            <b/>
            <sz val="9"/>
            <color indexed="81"/>
            <rFont val="Tahoma"/>
            <family val="2"/>
          </rPr>
          <t>&lt;[[TCDeals] - [TC Property Current Stage (Seq: 1)] - [Buildings (Seq: 10)] PVC Est Qual Basis - Send]&gt;</t>
        </r>
      </text>
    </comment>
    <comment ref="P16" authorId="0" shapeId="0" xr:uid="{00000000-0006-0000-0B00-000008000000}">
      <text>
        <r>
          <rPr>
            <b/>
            <sz val="9"/>
            <color indexed="81"/>
            <rFont val="Tahoma"/>
            <family val="2"/>
          </rPr>
          <t>&lt;[[TCDeals] - [TC Property Current Stage (Seq: 1)] - [Buildings (Seq: 10)] Acq Est Qual Basis - Send]&gt;</t>
        </r>
      </text>
    </comment>
    <comment ref="N17" authorId="0" shapeId="0" xr:uid="{00000000-0006-0000-0B00-000009000000}">
      <text>
        <r>
          <rPr>
            <b/>
            <sz val="9"/>
            <color indexed="81"/>
            <rFont val="Tahoma"/>
            <family val="2"/>
          </rPr>
          <t>&lt;[[TCDeals] - [TC Property Current Stage (Seq: 1)] - [Buildings (Seq: 10)] PVC Applicable Percentage - Send]&gt;</t>
        </r>
      </text>
    </comment>
    <comment ref="P17" authorId="0" shapeId="0" xr:uid="{00000000-0006-0000-0B00-00000A000000}">
      <text>
        <r>
          <rPr>
            <b/>
            <sz val="9"/>
            <color indexed="81"/>
            <rFont val="Tahoma"/>
            <family val="2"/>
          </rPr>
          <t>&lt;[[TCDeals] - [TC Property Current Stage (Seq: 1)] - [Buildings (Seq: 10)] Acq Applicable Percentage - Send]&gt;</t>
        </r>
      </text>
    </comment>
    <comment ref="N18" authorId="0" shapeId="0" xr:uid="{00000000-0006-0000-0B00-00000B000000}">
      <text>
        <r>
          <rPr>
            <b/>
            <sz val="9"/>
            <color indexed="81"/>
            <rFont val="Tahoma"/>
            <family val="2"/>
          </rPr>
          <t>&lt;[[TCDeals] - [TC Property Current Stage (Seq: 1)] - [Buildings (Seq: 10)] PVC Credit Amount - Send]&gt;</t>
        </r>
      </text>
    </comment>
    <comment ref="P18" authorId="0" shapeId="0" xr:uid="{00000000-0006-0000-0B00-00000C000000}">
      <text>
        <r>
          <rPr>
            <b/>
            <sz val="9"/>
            <color indexed="81"/>
            <rFont val="Tahoma"/>
            <family val="2"/>
          </rPr>
          <t>&lt;[[TCDeals] - [TC Property Current Stage (Seq: 1)] - [Buildings (Seq: 10)] Acq Credit Amount - Send]&gt;</t>
        </r>
      </text>
    </comment>
    <comment ref="N20" authorId="0" shapeId="0" xr:uid="{00000000-0006-0000-0B00-00000D000000}">
      <text>
        <r>
          <rPr>
            <b/>
            <sz val="9"/>
            <color indexed="81"/>
            <rFont val="Tahoma"/>
            <family val="2"/>
          </rPr>
          <t>&lt;[[TCDeals] - [TC Property Current Stage (Seq: 1)] - [Buildings (Seq: 11)] PVC Est Qual Basis - Send]&gt;</t>
        </r>
      </text>
    </comment>
    <comment ref="P20" authorId="0" shapeId="0" xr:uid="{00000000-0006-0000-0B00-00000E000000}">
      <text>
        <r>
          <rPr>
            <b/>
            <sz val="9"/>
            <color indexed="81"/>
            <rFont val="Tahoma"/>
            <family val="2"/>
          </rPr>
          <t>&lt;[[TCDeals] - [TC Property Current Stage (Seq: 1)] - [Buildings (Seq: 11)] Acq Est Qual Basis - Send]&gt;</t>
        </r>
      </text>
    </comment>
    <comment ref="N21" authorId="0" shapeId="0" xr:uid="{00000000-0006-0000-0B00-00000F000000}">
      <text>
        <r>
          <rPr>
            <b/>
            <sz val="9"/>
            <color indexed="81"/>
            <rFont val="Tahoma"/>
            <family val="2"/>
          </rPr>
          <t>&lt;[[TCDeals] - [TC Property Current Stage (Seq: 1)] - [Buildings (Seq: 11)] PVC Applicable Percentage - Send]&gt;</t>
        </r>
      </text>
    </comment>
    <comment ref="P21" authorId="0" shapeId="0" xr:uid="{00000000-0006-0000-0B00-000010000000}">
      <text>
        <r>
          <rPr>
            <b/>
            <sz val="9"/>
            <color indexed="81"/>
            <rFont val="Tahoma"/>
            <family val="2"/>
          </rPr>
          <t>&lt;[[TCDeals] - [TC Property Current Stage (Seq: 1)] - [Buildings (Seq: 11)] Acq Applicable Percentage - Send]&gt;</t>
        </r>
      </text>
    </comment>
    <comment ref="N22" authorId="0" shapeId="0" xr:uid="{00000000-0006-0000-0B00-000011000000}">
      <text>
        <r>
          <rPr>
            <b/>
            <sz val="9"/>
            <color indexed="81"/>
            <rFont val="Tahoma"/>
            <family val="2"/>
          </rPr>
          <t>&lt;[[TCDeals] - [TC Property Current Stage (Seq: 1)] - [Buildings (Seq: 11)] PVC Credit Amount - Send]&gt;</t>
        </r>
      </text>
    </comment>
    <comment ref="P22" authorId="0" shapeId="0" xr:uid="{00000000-0006-0000-0B00-000012000000}">
      <text>
        <r>
          <rPr>
            <b/>
            <sz val="9"/>
            <color indexed="81"/>
            <rFont val="Tahoma"/>
            <family val="2"/>
          </rPr>
          <t>&lt;[[TCDeals] - [TC Property Current Stage (Seq: 1)] - [Buildings (Seq: 11)] Acq Credit Amount - Send]&gt;</t>
        </r>
      </text>
    </comment>
    <comment ref="N24" authorId="0" shapeId="0" xr:uid="{00000000-0006-0000-0B00-000013000000}">
      <text>
        <r>
          <rPr>
            <b/>
            <sz val="9"/>
            <color indexed="81"/>
            <rFont val="Tahoma"/>
            <family val="2"/>
          </rPr>
          <t>&lt;[[TCDeals] - [TC Property Current Stage (Seq: 1)] - [Buildings (Seq: 12)] PVC Est Qual Basis - Send]&gt;</t>
        </r>
      </text>
    </comment>
    <comment ref="P24" authorId="0" shapeId="0" xr:uid="{00000000-0006-0000-0B00-000014000000}">
      <text>
        <r>
          <rPr>
            <b/>
            <sz val="9"/>
            <color indexed="81"/>
            <rFont val="Tahoma"/>
            <family val="2"/>
          </rPr>
          <t>&lt;[[TCDeals] - [TC Property Current Stage (Seq: 1)] - [Buildings (Seq: 12)] Acq Est Qual Basis - Send]&gt;</t>
        </r>
      </text>
    </comment>
    <comment ref="N25" authorId="0" shapeId="0" xr:uid="{00000000-0006-0000-0B00-000015000000}">
      <text>
        <r>
          <rPr>
            <b/>
            <sz val="9"/>
            <color indexed="81"/>
            <rFont val="Tahoma"/>
            <family val="2"/>
          </rPr>
          <t>&lt;[[TCDeals] - [TC Property Current Stage (Seq: 1)] - [Buildings (Seq: 12)] PVC Applicable Percentage - Send]&gt;</t>
        </r>
      </text>
    </comment>
    <comment ref="P25" authorId="0" shapeId="0" xr:uid="{00000000-0006-0000-0B00-000016000000}">
      <text>
        <r>
          <rPr>
            <b/>
            <sz val="9"/>
            <color indexed="81"/>
            <rFont val="Tahoma"/>
            <family val="2"/>
          </rPr>
          <t>&lt;[[TCDeals] - [TC Property Current Stage (Seq: 1)] - [Buildings (Seq: 12)] Acq Applicable Percentage - Send]&gt;</t>
        </r>
      </text>
    </comment>
    <comment ref="N26" authorId="0" shapeId="0" xr:uid="{00000000-0006-0000-0B00-000017000000}">
      <text>
        <r>
          <rPr>
            <b/>
            <sz val="9"/>
            <color indexed="81"/>
            <rFont val="Tahoma"/>
            <family val="2"/>
          </rPr>
          <t>&lt;[[TCDeals] - [TC Property Current Stage (Seq: 1)] - [Buildings (Seq: 12)] PVC Credit Amount - Send]&gt;</t>
        </r>
      </text>
    </comment>
    <comment ref="P26" authorId="0" shapeId="0" xr:uid="{00000000-0006-0000-0B00-000018000000}">
      <text>
        <r>
          <rPr>
            <b/>
            <sz val="9"/>
            <color indexed="81"/>
            <rFont val="Tahoma"/>
            <family val="2"/>
          </rPr>
          <t>&lt;[[TCDeals] - [TC Property Current Stage (Seq: 1)] - [Buildings (Seq: 12)] Acq Credit Amount - Send]&gt;</t>
        </r>
      </text>
    </comment>
    <comment ref="N28" authorId="0" shapeId="0" xr:uid="{00000000-0006-0000-0B00-000019000000}">
      <text>
        <r>
          <rPr>
            <b/>
            <sz val="9"/>
            <color indexed="81"/>
            <rFont val="Tahoma"/>
            <family val="2"/>
          </rPr>
          <t>&lt;[[TCDeals] - [TC Property Current Stage (Seq: 1)] - [Buildings (Seq: 13)] PVC Est Qual Basis - Send]&gt;</t>
        </r>
      </text>
    </comment>
    <comment ref="P28" authorId="0" shapeId="0" xr:uid="{00000000-0006-0000-0B00-00001A000000}">
      <text>
        <r>
          <rPr>
            <b/>
            <sz val="9"/>
            <color indexed="81"/>
            <rFont val="Tahoma"/>
            <family val="2"/>
          </rPr>
          <t>&lt;[[TCDeals] - [TC Property Current Stage (Seq: 1)] - [Buildings (Seq: 13)] Acq Est Qual Basis - Send]&gt;</t>
        </r>
      </text>
    </comment>
    <comment ref="N29" authorId="0" shapeId="0" xr:uid="{00000000-0006-0000-0B00-00001B000000}">
      <text>
        <r>
          <rPr>
            <b/>
            <sz val="9"/>
            <color indexed="81"/>
            <rFont val="Tahoma"/>
            <family val="2"/>
          </rPr>
          <t>&lt;[[TCDeals] - [TC Property Current Stage (Seq: 1)] - [Buildings (Seq: 13)] PVC Applicable Percentage - Send]&gt;</t>
        </r>
      </text>
    </comment>
    <comment ref="P29" authorId="0" shapeId="0" xr:uid="{00000000-0006-0000-0B00-00001C000000}">
      <text>
        <r>
          <rPr>
            <b/>
            <sz val="9"/>
            <color indexed="81"/>
            <rFont val="Tahoma"/>
            <family val="2"/>
          </rPr>
          <t>&lt;[[TCDeals] - [TC Property Current Stage (Seq: 1)] - [Buildings (Seq: 13)] Acq Applicable Percentage - Send]&gt;</t>
        </r>
      </text>
    </comment>
    <comment ref="N30" authorId="0" shapeId="0" xr:uid="{00000000-0006-0000-0B00-00001D000000}">
      <text>
        <r>
          <rPr>
            <b/>
            <sz val="9"/>
            <color indexed="81"/>
            <rFont val="Tahoma"/>
            <family val="2"/>
          </rPr>
          <t>&lt;[[TCDeals] - [TC Property Current Stage (Seq: 1)] - [Buildings (Seq: 13)] PVC Credit Amount - Send]&gt;</t>
        </r>
      </text>
    </comment>
    <comment ref="P30" authorId="0" shapeId="0" xr:uid="{00000000-0006-0000-0B00-00001E000000}">
      <text>
        <r>
          <rPr>
            <b/>
            <sz val="9"/>
            <color indexed="81"/>
            <rFont val="Tahoma"/>
            <family val="2"/>
          </rPr>
          <t>&lt;[[TCDeals] - [TC Property Current Stage (Seq: 1)] - [Buildings (Seq: 13)] Acq Credit Amount - Send]&gt;</t>
        </r>
      </text>
    </comment>
    <comment ref="N32" authorId="0" shapeId="0" xr:uid="{00000000-0006-0000-0B00-00001F000000}">
      <text>
        <r>
          <rPr>
            <b/>
            <sz val="9"/>
            <color indexed="81"/>
            <rFont val="Tahoma"/>
            <family val="2"/>
          </rPr>
          <t>&lt;[[TCDeals] - [TC Property Current Stage (Seq: 1)] - [Buildings (Seq: 14)] PVC Est Qual Basis - Send]&gt;</t>
        </r>
      </text>
    </comment>
    <comment ref="P32" authorId="0" shapeId="0" xr:uid="{00000000-0006-0000-0B00-000020000000}">
      <text>
        <r>
          <rPr>
            <b/>
            <sz val="9"/>
            <color indexed="81"/>
            <rFont val="Tahoma"/>
            <family val="2"/>
          </rPr>
          <t>&lt;[[TCDeals] - [TC Property Current Stage (Seq: 1)] - [Buildings (Seq: 14)] Acq Est Qual Basis - Send]&gt;</t>
        </r>
      </text>
    </comment>
    <comment ref="N33" authorId="0" shapeId="0" xr:uid="{00000000-0006-0000-0B00-000021000000}">
      <text>
        <r>
          <rPr>
            <b/>
            <sz val="9"/>
            <color indexed="81"/>
            <rFont val="Tahoma"/>
            <family val="2"/>
          </rPr>
          <t>&lt;[[TCDeals] - [TC Property Current Stage (Seq: 1)] - [Buildings (Seq: 14)] PVC Applicable Percentage - Send]&gt;</t>
        </r>
      </text>
    </comment>
    <comment ref="P33" authorId="0" shapeId="0" xr:uid="{00000000-0006-0000-0B00-000022000000}">
      <text>
        <r>
          <rPr>
            <b/>
            <sz val="9"/>
            <color indexed="81"/>
            <rFont val="Tahoma"/>
            <family val="2"/>
          </rPr>
          <t>&lt;[[TCDeals] - [TC Property Current Stage (Seq: 1)] - [Buildings (Seq: 14)] Acq Applicable Percentage - Send]&gt;</t>
        </r>
      </text>
    </comment>
    <comment ref="N34" authorId="0" shapeId="0" xr:uid="{00000000-0006-0000-0B00-000023000000}">
      <text>
        <r>
          <rPr>
            <b/>
            <sz val="9"/>
            <color indexed="81"/>
            <rFont val="Tahoma"/>
            <family val="2"/>
          </rPr>
          <t>&lt;[[TCDeals] - [TC Property Current Stage (Seq: 1)] - [Buildings (Seq: 14)] PVC Credit Amount - Send]&gt;</t>
        </r>
      </text>
    </comment>
    <comment ref="P34" authorId="0" shapeId="0" xr:uid="{00000000-0006-0000-0B00-000024000000}">
      <text>
        <r>
          <rPr>
            <b/>
            <sz val="9"/>
            <color indexed="81"/>
            <rFont val="Tahoma"/>
            <family val="2"/>
          </rPr>
          <t>&lt;[[TCDeals] - [TC Property Current Stage (Seq: 1)] - [Buildings (Seq: 14)] Acq Credit Amount - Send]&gt;</t>
        </r>
      </text>
    </comment>
    <comment ref="N36" authorId="0" shapeId="0" xr:uid="{00000000-0006-0000-0B00-000025000000}">
      <text>
        <r>
          <rPr>
            <b/>
            <sz val="9"/>
            <color indexed="81"/>
            <rFont val="Tahoma"/>
            <family val="2"/>
          </rPr>
          <t>&lt;[[TCDeals] - [TC Property Current Stage (Seq: 1)] - [Buildings (Seq: 15)] PVC Est Qual Basis - Send]&gt;</t>
        </r>
      </text>
    </comment>
    <comment ref="P36" authorId="0" shapeId="0" xr:uid="{00000000-0006-0000-0B00-000026000000}">
      <text>
        <r>
          <rPr>
            <b/>
            <sz val="9"/>
            <color indexed="81"/>
            <rFont val="Tahoma"/>
            <family val="2"/>
          </rPr>
          <t>&lt;[[TCDeals] - [TC Property Current Stage (Seq: 1)] - [Buildings (Seq: 15)] Acq Est Qual Basis - Send]&gt;</t>
        </r>
      </text>
    </comment>
    <comment ref="N37" authorId="0" shapeId="0" xr:uid="{00000000-0006-0000-0B00-000027000000}">
      <text>
        <r>
          <rPr>
            <b/>
            <sz val="9"/>
            <color indexed="81"/>
            <rFont val="Tahoma"/>
            <family val="2"/>
          </rPr>
          <t>&lt;[[TCDeals] - [TC Property Current Stage (Seq: 1)] - [Buildings (Seq: 15)] PVC Applicable Percentage - Send]&gt;</t>
        </r>
      </text>
    </comment>
    <comment ref="P37" authorId="0" shapeId="0" xr:uid="{00000000-0006-0000-0B00-000028000000}">
      <text>
        <r>
          <rPr>
            <b/>
            <sz val="9"/>
            <color indexed="81"/>
            <rFont val="Tahoma"/>
            <family val="2"/>
          </rPr>
          <t>&lt;[[TCDeals] - [TC Property Current Stage (Seq: 1)] - [Buildings (Seq: 15)] Acq Applicable Percentage - Send]&gt;</t>
        </r>
      </text>
    </comment>
    <comment ref="N38" authorId="0" shapeId="0" xr:uid="{00000000-0006-0000-0B00-000029000000}">
      <text>
        <r>
          <rPr>
            <b/>
            <sz val="9"/>
            <color indexed="81"/>
            <rFont val="Tahoma"/>
            <family val="2"/>
          </rPr>
          <t>&lt;[[TCDeals] - [TC Property Current Stage (Seq: 1)] - [Buildings (Seq: 15)] PVC Credit Amount - Send]&gt;</t>
        </r>
      </text>
    </comment>
    <comment ref="P38" authorId="0" shapeId="0" xr:uid="{00000000-0006-0000-0B00-00002A000000}">
      <text>
        <r>
          <rPr>
            <b/>
            <sz val="9"/>
            <color indexed="81"/>
            <rFont val="Tahoma"/>
            <family val="2"/>
          </rPr>
          <t>&lt;[[TCDeals] - [TC Property Current Stage (Seq: 1)] - [Buildings (Seq: 15)] Acq Credit Amount - Send]&gt;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Allocation Certification" type="6" refreshedVersion="6" background="1" saveData="1">
    <textPr sourceFile="C:\Users\mwilshere\Desktop\Allocation Certification.txt" delimited="0">
      <textFields>
        <textField/>
      </textFields>
    </textPr>
  </connection>
</connections>
</file>

<file path=xl/sharedStrings.xml><?xml version="1.0" encoding="utf-8"?>
<sst xmlns="http://schemas.openxmlformats.org/spreadsheetml/2006/main" count="7696" uniqueCount="2896">
  <si>
    <t xml:space="preserve">           Vacancy Percentages</t>
  </si>
  <si>
    <t xml:space="preserve">At least 40% of the residential rental units in this property are to be rent-restricted and occupied by individuals whose annual income is 60% or less of the area median gross income. </t>
  </si>
  <si>
    <t>At least 20% of the residential rental units in this property are to be rent-restricted and occupied by individuals whose annual income is 50% or less of the area median gross income.</t>
  </si>
  <si>
    <t>Provide estimated (based upon normalized operations) annual expense information for Low-Income Residential, Market Rate Residential, and Commercial Rental Units in the property:</t>
  </si>
  <si>
    <t>is responsible for all amounts, calculations and other information relating to the determination of each building's adjusted basis, eligible basis and qualified basis, and understands that the housing credit dollar amount is calculated for each building based, in part, upon the information provided in this application;</t>
  </si>
  <si>
    <t>XIX.</t>
  </si>
  <si>
    <t>Building 1</t>
  </si>
  <si>
    <t>Building 2</t>
  </si>
  <si>
    <t>Building 3</t>
  </si>
  <si>
    <t>Building 4</t>
  </si>
  <si>
    <t>Building 5</t>
  </si>
  <si>
    <t>Building 6</t>
  </si>
  <si>
    <t>Allocation Year Requested</t>
  </si>
  <si>
    <t xml:space="preserve">Date Property Acquired                 </t>
  </si>
  <si>
    <t>Start of Construction Date</t>
  </si>
  <si>
    <t>End of Construction Date</t>
  </si>
  <si>
    <t>XX.</t>
  </si>
  <si>
    <t>New or Rehabilitation Credit</t>
  </si>
  <si>
    <t>Eligible HCDA</t>
  </si>
  <si>
    <t>HCDA Requested</t>
  </si>
  <si>
    <t>XXI.</t>
  </si>
  <si>
    <t>XXII.</t>
  </si>
  <si>
    <t>Date of Notification</t>
  </si>
  <si>
    <t>Date of Response</t>
  </si>
  <si>
    <t>By:</t>
  </si>
  <si>
    <t xml:space="preserve">STATE OF :  </t>
  </si>
  <si>
    <t>COUNTY OF:</t>
  </si>
  <si>
    <t>To-Wit:</t>
  </si>
  <si>
    <t>Property Location</t>
  </si>
  <si>
    <t>Property Name</t>
  </si>
  <si>
    <t>Property Address</t>
  </si>
  <si>
    <t>Property Owner Information</t>
  </si>
  <si>
    <t>Provide the following information for any and all entities who own or will own any portion of the property:</t>
  </si>
  <si>
    <t>Ability to Produce a Qualified Low-Income Residential Rental Property</t>
  </si>
  <si>
    <t>FORM 1040</t>
  </si>
  <si>
    <t>WEST VIRGINIA HOUSING DEVELOPMENT FUND</t>
  </si>
  <si>
    <t>LOW-INCOME HOUSING TAX CREDIT PROGRAM</t>
  </si>
  <si>
    <t>REQUEST</t>
  </si>
  <si>
    <t>Reservation</t>
  </si>
  <si>
    <t>Carryover Allocation</t>
  </si>
  <si>
    <t>Allocation</t>
  </si>
  <si>
    <t xml:space="preserve"> </t>
  </si>
  <si>
    <t>I.</t>
  </si>
  <si>
    <t>II.</t>
  </si>
  <si>
    <t>III.</t>
  </si>
  <si>
    <t>Name</t>
  </si>
  <si>
    <t>Address</t>
  </si>
  <si>
    <t>IV.</t>
  </si>
  <si>
    <t>Taxpayer Identification #</t>
  </si>
  <si>
    <t>Social Security</t>
  </si>
  <si>
    <t>Owner Name</t>
  </si>
  <si>
    <t>Total Ownership</t>
  </si>
  <si>
    <t>V.</t>
  </si>
  <si>
    <t>A.</t>
  </si>
  <si>
    <t>B.</t>
  </si>
  <si>
    <t>C.</t>
  </si>
  <si>
    <t>D.</t>
  </si>
  <si>
    <t>VI.</t>
  </si>
  <si>
    <t>VII.</t>
  </si>
  <si>
    <t>Selection and Preference Criteria</t>
  </si>
  <si>
    <t>Set-Aside Category</t>
  </si>
  <si>
    <t>Number of Units</t>
  </si>
  <si>
    <t>Qualified Non-Profit</t>
  </si>
  <si>
    <t>a.</t>
  </si>
  <si>
    <t>b.</t>
  </si>
  <si>
    <t>Attach the necessary documentation to support the representations and responses made with respect to this section.</t>
  </si>
  <si>
    <t>Option</t>
  </si>
  <si>
    <t>c.</t>
  </si>
  <si>
    <t>Full Year of Annualized Operations</t>
  </si>
  <si>
    <t>Year 1</t>
  </si>
  <si>
    <t>Year 2</t>
  </si>
  <si>
    <t>Year 3</t>
  </si>
  <si>
    <t>Year 4</t>
  </si>
  <si>
    <t>Year 5</t>
  </si>
  <si>
    <t>Year 6</t>
  </si>
  <si>
    <t>Year 7</t>
  </si>
  <si>
    <t>Year 8</t>
  </si>
  <si>
    <t>Year 9</t>
  </si>
  <si>
    <t>Year 10</t>
  </si>
  <si>
    <t>Year 11</t>
  </si>
  <si>
    <t>Year 12</t>
  </si>
  <si>
    <t>Year 13</t>
  </si>
  <si>
    <t>Year 14</t>
  </si>
  <si>
    <t>Year 15</t>
  </si>
  <si>
    <t>Net Rent - Commercial Rental Units</t>
  </si>
  <si>
    <t>Less: Additions to Replacement Reserve</t>
  </si>
  <si>
    <t>Telephone Number</t>
  </si>
  <si>
    <t>Permanent Financing</t>
  </si>
  <si>
    <t>Amount of</t>
  </si>
  <si>
    <t>Date of Application</t>
  </si>
  <si>
    <t>Financing</t>
  </si>
  <si>
    <t>or Request</t>
  </si>
  <si>
    <t>d.</t>
  </si>
  <si>
    <t>e.</t>
  </si>
  <si>
    <t>Syndication of Investment Interests and Tax Credits</t>
  </si>
  <si>
    <t>First Proposal</t>
  </si>
  <si>
    <t>Gross Syndication Proceeds</t>
  </si>
  <si>
    <t>Net Syndication Proceeds</t>
  </si>
  <si>
    <t>Description</t>
  </si>
  <si>
    <t>Amount</t>
  </si>
  <si>
    <t>Total</t>
  </si>
  <si>
    <t>*</t>
  </si>
  <si>
    <t>**</t>
  </si>
  <si>
    <t>Syndicator</t>
  </si>
  <si>
    <t>Sponsor Characteristics</t>
  </si>
  <si>
    <t>E.</t>
  </si>
  <si>
    <t>F.</t>
  </si>
  <si>
    <t>G.</t>
  </si>
  <si>
    <t>Persons on a Public Housing Waiting List</t>
  </si>
  <si>
    <t>H.</t>
  </si>
  <si>
    <t>J.</t>
  </si>
  <si>
    <t>K.</t>
  </si>
  <si>
    <t>L.</t>
  </si>
  <si>
    <t>VIII.</t>
  </si>
  <si>
    <t>Unit</t>
  </si>
  <si>
    <t>Units</t>
  </si>
  <si>
    <t>Efficiency</t>
  </si>
  <si>
    <t>1 Bedroom</t>
  </si>
  <si>
    <t>2 Bedroom</t>
  </si>
  <si>
    <t>3 Bedroom</t>
  </si>
  <si>
    <t>4 Bedroom</t>
  </si>
  <si>
    <t>Totals</t>
  </si>
  <si>
    <t>Laundry Facilities</t>
  </si>
  <si>
    <t>Parking</t>
  </si>
  <si>
    <t>Storage</t>
  </si>
  <si>
    <t>Smoke Detectors</t>
  </si>
  <si>
    <t>Fire Extinguishers</t>
  </si>
  <si>
    <t>Sprinkler Systems</t>
  </si>
  <si>
    <t>Range</t>
  </si>
  <si>
    <t>Refrigerator</t>
  </si>
  <si>
    <t>Air Conditioning</t>
  </si>
  <si>
    <t>Kitchen Exhaust</t>
  </si>
  <si>
    <t>Bathroom Exhaust</t>
  </si>
  <si>
    <t>Garbage Disposal</t>
  </si>
  <si>
    <t>Carpet</t>
  </si>
  <si>
    <t>Dishwasher</t>
  </si>
  <si>
    <t>Fire Alarms</t>
  </si>
  <si>
    <t>Other, describe:</t>
  </si>
  <si>
    <t>IX.</t>
  </si>
  <si>
    <t>Ten Year Requirement</t>
  </si>
  <si>
    <t>X.</t>
  </si>
  <si>
    <t>Tax-Exempt Bond Financing</t>
  </si>
  <si>
    <t>Source 1</t>
  </si>
  <si>
    <t>For each of these items, a property-specific estimate must be included as an attachment to this Request.</t>
  </si>
  <si>
    <t>Acquisition Credit</t>
  </si>
  <si>
    <t>Source 2</t>
  </si>
  <si>
    <t xml:space="preserve">Source </t>
  </si>
  <si>
    <t xml:space="preserve">Amount </t>
  </si>
  <si>
    <t>Source</t>
  </si>
  <si>
    <t>Miscellaneous Deductions to Determine the Eligible Basis of Each Building</t>
  </si>
  <si>
    <t>Name of</t>
  </si>
  <si>
    <t xml:space="preserve">Annual </t>
  </si>
  <si>
    <t>Debt Service</t>
  </si>
  <si>
    <t>XXXXX</t>
  </si>
  <si>
    <t>Total Annual Debt Service</t>
  </si>
  <si>
    <t>Contact Person</t>
  </si>
  <si>
    <t>Interest</t>
  </si>
  <si>
    <t>Rate</t>
  </si>
  <si>
    <t>Period</t>
  </si>
  <si>
    <t>Term</t>
  </si>
  <si>
    <t>Building</t>
  </si>
  <si>
    <t>Commercial</t>
  </si>
  <si>
    <t>Number</t>
  </si>
  <si>
    <t>Low-Income</t>
  </si>
  <si>
    <t>Market Rate</t>
  </si>
  <si>
    <t>Rental Units</t>
  </si>
  <si>
    <t>XI.</t>
  </si>
  <si>
    <t>Occupancy Type:</t>
  </si>
  <si>
    <t>Building Type:</t>
  </si>
  <si>
    <t>Elevator</t>
  </si>
  <si>
    <t>Section 8 - Project Based Assistance</t>
  </si>
  <si>
    <t>RD Rental Assistance</t>
  </si>
  <si>
    <t>Number of Buildings with Residential Rental Units:</t>
  </si>
  <si>
    <t>Total Number of Parking Spaces:</t>
  </si>
  <si>
    <t>Square Feet</t>
  </si>
  <si>
    <t>Properties Committed to Eventual Tenant Ownership</t>
  </si>
  <si>
    <t>Preference for Properties Serving the Lowest Income Tenants</t>
  </si>
  <si>
    <t>The existing building is a single-family residence that was acquired from an individual who owned and used such residence for no other purpose than as that individual's principal residence.</t>
  </si>
  <si>
    <t>General Partner Portfolio Occupancy Rate</t>
  </si>
  <si>
    <t>Unit                                       Description</t>
  </si>
  <si>
    <t>Number of                               Units</t>
  </si>
  <si>
    <t>Preference for Properties Obligated to Serving Qualified Tenants for the Longest Periods of Time</t>
  </si>
  <si>
    <t>OWNER:</t>
  </si>
  <si>
    <t>Name:</t>
  </si>
  <si>
    <t>Title:</t>
  </si>
  <si>
    <t>M.</t>
  </si>
  <si>
    <t>Buildings with Four or Fewer Units</t>
  </si>
  <si>
    <t>N.</t>
  </si>
  <si>
    <t>Services Other Than Housing</t>
  </si>
  <si>
    <t>Service Description</t>
  </si>
  <si>
    <t>Mandatory or Optional</t>
  </si>
  <si>
    <t>Transitional Housing for the Homeless</t>
  </si>
  <si>
    <t>Minimum Set-Aside Election</t>
  </si>
  <si>
    <t>Extended Low-Income Housing Commitment</t>
  </si>
  <si>
    <t>XII.</t>
  </si>
  <si>
    <t>Tenant Paid Utility Allowance Calculation</t>
  </si>
  <si>
    <t>Tenant Paid Utility</t>
  </si>
  <si>
    <t>Utility</t>
  </si>
  <si>
    <t xml:space="preserve">Type of </t>
  </si>
  <si>
    <t>Allowance By Bedroom Size (Dollars)</t>
  </si>
  <si>
    <t>Service</t>
  </si>
  <si>
    <t>Paid By</t>
  </si>
  <si>
    <t>Heating</t>
  </si>
  <si>
    <t>Cooking</t>
  </si>
  <si>
    <t>Water</t>
  </si>
  <si>
    <t>Sewer</t>
  </si>
  <si>
    <t>Trash</t>
  </si>
  <si>
    <t>Total Tenant Paid Utility Allowance</t>
  </si>
  <si>
    <t>XIII.</t>
  </si>
  <si>
    <t>Tenant</t>
  </si>
  <si>
    <t>Tenant Paid</t>
  </si>
  <si>
    <t>Gross</t>
  </si>
  <si>
    <t>IRS Rent</t>
  </si>
  <si>
    <t xml:space="preserve">Unit </t>
  </si>
  <si>
    <t>of</t>
  </si>
  <si>
    <t>Market</t>
  </si>
  <si>
    <t>Paid</t>
  </si>
  <si>
    <t>Restriction</t>
  </si>
  <si>
    <t>Size</t>
  </si>
  <si>
    <t>Rent</t>
  </si>
  <si>
    <t>Allowance</t>
  </si>
  <si>
    <t>Paid Rent</t>
  </si>
  <si>
    <t>XIV.</t>
  </si>
  <si>
    <t>Low-Income Units</t>
  </si>
  <si>
    <t>Market Rate Units</t>
  </si>
  <si>
    <t>Owner</t>
  </si>
  <si>
    <t>Total Monthly</t>
  </si>
  <si>
    <t>Rent for Low-</t>
  </si>
  <si>
    <t>Rent for Market</t>
  </si>
  <si>
    <t>Income Units</t>
  </si>
  <si>
    <t>Rate Units</t>
  </si>
  <si>
    <t>of Units</t>
  </si>
  <si>
    <t>Low-Income Rental Units:</t>
  </si>
  <si>
    <t>Market Rate Rental Units:</t>
  </si>
  <si>
    <t>Commercial Rental Units:</t>
  </si>
  <si>
    <t>Other Income Sources:</t>
  </si>
  <si>
    <t>XV.</t>
  </si>
  <si>
    <t>Annual Expense</t>
  </si>
  <si>
    <t>Administrative:</t>
  </si>
  <si>
    <t>Advertising</t>
  </si>
  <si>
    <t>Management Fee</t>
  </si>
  <si>
    <t>Total Estimated Annual Expenses (A+B+C+D)</t>
  </si>
  <si>
    <t xml:space="preserve">Total Estimated Annual Expenses/Total Number of Units:      </t>
  </si>
  <si>
    <t>XVI.</t>
  </si>
  <si>
    <t>Residential Rental Units</t>
  </si>
  <si>
    <t>Less:  Vacancy Allowances</t>
  </si>
  <si>
    <t>Net Rents</t>
  </si>
  <si>
    <t>Other Income (Describe):</t>
  </si>
  <si>
    <t>Total Income</t>
  </si>
  <si>
    <t>Total Expenses Other than Interest and Depreciation</t>
  </si>
  <si>
    <t>Net Operating Income Before Interest and Depreciation</t>
  </si>
  <si>
    <t>Less:  Additions to the Replacement Reserve</t>
  </si>
  <si>
    <t>XVII.</t>
  </si>
  <si>
    <t>Accountant</t>
  </si>
  <si>
    <t>Architect</t>
  </si>
  <si>
    <t>Attorney</t>
  </si>
  <si>
    <t>Contractor</t>
  </si>
  <si>
    <t>Management Company</t>
  </si>
  <si>
    <t>XVIII.</t>
  </si>
  <si>
    <t>Property Financing</t>
  </si>
  <si>
    <t>Property Costs -</t>
  </si>
  <si>
    <t>Property Costs - Residential Rental Units</t>
  </si>
  <si>
    <t>Property Cost</t>
  </si>
  <si>
    <t>Property Description</t>
  </si>
  <si>
    <t>Multiple Building Properties</t>
  </si>
  <si>
    <t>Property Utilities</t>
  </si>
  <si>
    <t>Property Rents</t>
  </si>
  <si>
    <t>Property Income Information</t>
  </si>
  <si>
    <t>Property Estimated Annual Expense Information</t>
  </si>
  <si>
    <t>Property Annual Cash Flow</t>
  </si>
  <si>
    <t>Property Development Team</t>
  </si>
  <si>
    <t>Market Analyst</t>
  </si>
  <si>
    <t>Appraisal Provider (if applicable)</t>
  </si>
  <si>
    <t>Total Maintenance</t>
  </si>
  <si>
    <t>Type of Offering (Public or Private)</t>
  </si>
  <si>
    <t>Type of Investors (Individual or Corporate)</t>
  </si>
  <si>
    <t>Annual Amount of Tax Credit Dollars</t>
  </si>
  <si>
    <t>Aggregate Amount of Tax Credit Dollars</t>
  </si>
  <si>
    <t>Percentage of Tax Credit Dollars Syndicated</t>
  </si>
  <si>
    <t>Aggregate Tax Credit Dollars Syndicated</t>
  </si>
  <si>
    <t>Syndication Costs Description</t>
  </si>
  <si>
    <t>f.</t>
  </si>
  <si>
    <t>g.</t>
  </si>
  <si>
    <t>Historic Nature of Property</t>
  </si>
  <si>
    <t>No acquisition credit is being requested.</t>
  </si>
  <si>
    <t>Federal Subsidies (Tax-Exempt Bond Financing) or Federal Funds (Loans or Grants)</t>
  </si>
  <si>
    <t>XXIII.</t>
  </si>
  <si>
    <t>My commission expires:</t>
  </si>
  <si>
    <t>Notary Public:</t>
  </si>
  <si>
    <t>(Notary Public's Signature)</t>
  </si>
  <si>
    <t>h.</t>
  </si>
  <si>
    <t>Grant</t>
  </si>
  <si>
    <t>Section 8 - Moderate Rehabilitation</t>
  </si>
  <si>
    <t>i.</t>
  </si>
  <si>
    <t>Acres</t>
  </si>
  <si>
    <t>Single</t>
  </si>
  <si>
    <t>Date</t>
  </si>
  <si>
    <t>(Signature)</t>
  </si>
  <si>
    <t>Site Address/Location</t>
  </si>
  <si>
    <t>Number of Resident Manager/Maintenance/Security Units:</t>
  </si>
  <si>
    <t>Square Footage of Buildings</t>
  </si>
  <si>
    <t>Units in the Property</t>
  </si>
  <si>
    <t>Buildings in the Property</t>
  </si>
  <si>
    <t>The existing buildings in the property were acquired with the buyer's basis of the buildings determined, in whole or in part, with reference to the seller's basis in such buildings.</t>
  </si>
  <si>
    <t>Number of Low-Income Residential Rental Units:</t>
  </si>
  <si>
    <t>Number of Market Rate Residential Rental Units:</t>
  </si>
  <si>
    <t>Total Square Footage of Commercial Space for All Buildings:</t>
  </si>
  <si>
    <t>Phase I Environmental Site Assessment Provider</t>
  </si>
  <si>
    <t>Construction Lender</t>
  </si>
  <si>
    <t>Tax-Exempt Bond Issuer (if applicable)</t>
  </si>
  <si>
    <t>Capital Needs Assessment Provider (if applicable)</t>
  </si>
  <si>
    <t>Acquisition of Existing Buildings  (If Applicable):</t>
  </si>
  <si>
    <t>N/A</t>
  </si>
  <si>
    <t>is responsible for all responses and information furnished in this application and understands that any improper or incorrect response or information could result in a reduction or an elimination of the housing credit dollar amounts for the buildings in the property;</t>
  </si>
  <si>
    <t>certifies that all of the property's funding sources [loans, grants, and equity anticipated (at Reservation and Carryover Allocation Request stages) and actual final (at Allocation Request stage)] and uses of funds [total property costs estimated (at Reservation and Carryover Allocation Request stages) and actual final (at Allocation Request stage)] are correctly and completely disclosed in this application;</t>
  </si>
  <si>
    <t>Ownership</t>
  </si>
  <si>
    <t>1)</t>
  </si>
  <si>
    <t>2)</t>
  </si>
  <si>
    <t>3)</t>
  </si>
  <si>
    <t>Detail:</t>
  </si>
  <si>
    <t>Initial Fee Percentage</t>
  </si>
  <si>
    <t>Minimum Initial Fee</t>
  </si>
  <si>
    <t>Final Fee Percentage</t>
  </si>
  <si>
    <t>Building 7</t>
  </si>
  <si>
    <t>Building 8</t>
  </si>
  <si>
    <t>Building 9</t>
  </si>
  <si>
    <t>Building 10</t>
  </si>
  <si>
    <t>Building 11</t>
  </si>
  <si>
    <t>Building 12</t>
  </si>
  <si>
    <t>Building 13</t>
  </si>
  <si>
    <t>Building 14</t>
  </si>
  <si>
    <t>Building 15</t>
  </si>
  <si>
    <t>Top Off</t>
  </si>
  <si>
    <t>Date of Commitment</t>
  </si>
  <si>
    <t>Not Applicable</t>
  </si>
  <si>
    <t>Property Summary of the Eligible Housing Credit Dollar Amounts Requested</t>
  </si>
  <si>
    <t>The buildings in the property are considered federally or State-assisted buildings as defined in Subsection 42(d)(6).</t>
  </si>
  <si>
    <t>WVHDF</t>
  </si>
  <si>
    <t>TOTALS</t>
  </si>
  <si>
    <t>(Units)</t>
  </si>
  <si>
    <t>(Square Feet)</t>
  </si>
  <si>
    <t>Calculating the Applicable Fraction</t>
  </si>
  <si>
    <t xml:space="preserve"> 1.   Total Low-Income Residential</t>
  </si>
  <si>
    <t>5.   Total Low-Income Residential</t>
  </si>
  <si>
    <t xml:space="preserve"> 2.   Total Market Rate Residential</t>
  </si>
  <si>
    <t>6.   Total Market Rate Residential</t>
  </si>
  <si>
    <t xml:space="preserve"> 3.   Total Residential Rental</t>
  </si>
  <si>
    <t xml:space="preserve">7.   Total Residential Rental </t>
  </si>
  <si>
    <t xml:space="preserve">       Units (Line 1 + Line 2):</t>
  </si>
  <si>
    <t xml:space="preserve">      Floor Space (Line 5 + Line 6):</t>
  </si>
  <si>
    <t xml:space="preserve"> 4.   Unit Fraction (Line 1/ Line 3):</t>
  </si>
  <si>
    <t>Calculating the Eligible Basis</t>
  </si>
  <si>
    <t xml:space="preserve"> RESIDENTIAL RENTAL </t>
  </si>
  <si>
    <t>*********ADJUSTED BASIS*********</t>
  </si>
  <si>
    <t>New Construction</t>
  </si>
  <si>
    <t>or Substantial</t>
  </si>
  <si>
    <t>Property</t>
  </si>
  <si>
    <t>+</t>
  </si>
  <si>
    <t>Rehabilitation</t>
  </si>
  <si>
    <t>Acquisition</t>
  </si>
  <si>
    <t>Land</t>
  </si>
  <si>
    <t>Demolition</t>
  </si>
  <si>
    <t>On Site Land Improvements</t>
  </si>
  <si>
    <t>Off Site Land Improvements</t>
  </si>
  <si>
    <t>New Structures</t>
  </si>
  <si>
    <t>Rehabilitation of Existing Structures</t>
  </si>
  <si>
    <t>Builder's General Requirement ^</t>
  </si>
  <si>
    <t>Builder's General Overhead ^</t>
  </si>
  <si>
    <t>Builder's Profit ^</t>
  </si>
  <si>
    <t>Builder's Cost - Bond Premium or Letter of Credit ^</t>
  </si>
  <si>
    <t>Building Permit Fee^</t>
  </si>
  <si>
    <t>Architect Design Fee</t>
  </si>
  <si>
    <t>Architect Inspection Fee</t>
  </si>
  <si>
    <t>Engineering Fee</t>
  </si>
  <si>
    <t>Property Survey Fee</t>
  </si>
  <si>
    <t>Property Appraisal Fee</t>
  </si>
  <si>
    <t>Capital Needs Assessment Fee</t>
  </si>
  <si>
    <t>Legal Fees</t>
  </si>
  <si>
    <t>Title Insurance Fee</t>
  </si>
  <si>
    <t>State Fire Marshal Fee</t>
  </si>
  <si>
    <t>Cost Certification Fee</t>
  </si>
  <si>
    <t>Construction Period Interest (Up to PIS Date)</t>
  </si>
  <si>
    <t>Construction Loan Interest (After PIS Date)</t>
  </si>
  <si>
    <t>Construction Loan Fees</t>
  </si>
  <si>
    <t xml:space="preserve">Construction Real Estate Taxes </t>
  </si>
  <si>
    <t>Permanent Loan Fees</t>
  </si>
  <si>
    <t>Market Study</t>
  </si>
  <si>
    <t xml:space="preserve">Environmental Study </t>
  </si>
  <si>
    <t>Tax Credit Fee</t>
  </si>
  <si>
    <t>Rent-Up Costs</t>
  </si>
  <si>
    <t>Developer's Fee #</t>
  </si>
  <si>
    <t>Rent-Up Reserve</t>
  </si>
  <si>
    <t>Operating Reserve</t>
  </si>
  <si>
    <t>@</t>
  </si>
  <si>
    <t>†</t>
  </si>
  <si>
    <t>Attach a detailed calculation of the amount of Acquisition of Existing Structures.</t>
  </si>
  <si>
    <t>All blanks in this section must contain an amount, dollar or percentage as applicable, or 0 (zero) if not applicable.</t>
  </si>
  <si>
    <t>(B)</t>
  </si>
  <si>
    <t>Federal Loan Subsidy (Optional)</t>
  </si>
  <si>
    <t>Federal Grant Proceeds (Required)</t>
  </si>
  <si>
    <t>Historic Rehabilitation Tax Credit</t>
  </si>
  <si>
    <t>Non-qualified Non-recourse Financing</t>
  </si>
  <si>
    <t>Percentage of the Aggregate Basis Financed by Tax-Exempt Bonds</t>
  </si>
  <si>
    <t>Calculating the Qualified Basis</t>
  </si>
  <si>
    <t>Qualified Basis (Line 1 times Line 2)</t>
  </si>
  <si>
    <t>Calculating the Eligible Housing Credit Dollar Amount</t>
  </si>
  <si>
    <t>Applicable Percentage   *</t>
  </si>
  <si>
    <t>Eligible Housing Credit Dollar Amount (Line 1 times Line 2 - Truncated)</t>
  </si>
  <si>
    <t>Rehabilitation Threshold Tests</t>
  </si>
  <si>
    <t>(Respond to this section if rehabilitation credit is being requested.</t>
  </si>
  <si>
    <t>Otherwise, mark "X" for non-applicability).</t>
  </si>
  <si>
    <t xml:space="preserve">  units</t>
  </si>
  <si>
    <t>Twenty Percent Test</t>
  </si>
  <si>
    <t>Street Address</t>
  </si>
  <si>
    <t>City</t>
  </si>
  <si>
    <t>County</t>
  </si>
  <si>
    <t>Zip</t>
  </si>
  <si>
    <t>State</t>
  </si>
  <si>
    <t>Monongalia</t>
  </si>
  <si>
    <t>Pocahontas</t>
  </si>
  <si>
    <t>WV</t>
  </si>
  <si>
    <t>Barbour</t>
  </si>
  <si>
    <t>Berkeley</t>
  </si>
  <si>
    <t>Boone</t>
  </si>
  <si>
    <t>Braxton</t>
  </si>
  <si>
    <t>Brooke</t>
  </si>
  <si>
    <t>Cabell</t>
  </si>
  <si>
    <t>Calhoun</t>
  </si>
  <si>
    <t>Clay</t>
  </si>
  <si>
    <t>Doddridge</t>
  </si>
  <si>
    <t>Fayette</t>
  </si>
  <si>
    <t>Gilmer</t>
  </si>
  <si>
    <t>Greenbrier</t>
  </si>
  <si>
    <t>Hampshire</t>
  </si>
  <si>
    <t>Hancock</t>
  </si>
  <si>
    <t>Hardy</t>
  </si>
  <si>
    <t>Harrison</t>
  </si>
  <si>
    <t>Jackson</t>
  </si>
  <si>
    <t>Jefferson</t>
  </si>
  <si>
    <t>Kanawha</t>
  </si>
  <si>
    <t>Lewis</t>
  </si>
  <si>
    <t>Lincoln</t>
  </si>
  <si>
    <t>Logan</t>
  </si>
  <si>
    <t>Marion</t>
  </si>
  <si>
    <t>Marshall</t>
  </si>
  <si>
    <t>Mason</t>
  </si>
  <si>
    <t>McDowell</t>
  </si>
  <si>
    <t>Mercer</t>
  </si>
  <si>
    <t>Mineral</t>
  </si>
  <si>
    <t>Mingo</t>
  </si>
  <si>
    <t>Monroe</t>
  </si>
  <si>
    <t>Morgan</t>
  </si>
  <si>
    <t>Nicholas</t>
  </si>
  <si>
    <t>Ohio</t>
  </si>
  <si>
    <t>Pendleton</t>
  </si>
  <si>
    <t>Pleasants</t>
  </si>
  <si>
    <t>Preston</t>
  </si>
  <si>
    <t>Putnam</t>
  </si>
  <si>
    <t>Raleigh</t>
  </si>
  <si>
    <t>Randolph</t>
  </si>
  <si>
    <t>Ritchie</t>
  </si>
  <si>
    <t>Roane</t>
  </si>
  <si>
    <t>Summers</t>
  </si>
  <si>
    <t>Taylor</t>
  </si>
  <si>
    <t>Tucker</t>
  </si>
  <si>
    <t>Tyler</t>
  </si>
  <si>
    <t>Upshur</t>
  </si>
  <si>
    <t>Wayne</t>
  </si>
  <si>
    <t>Webster</t>
  </si>
  <si>
    <t>Wetzel</t>
  </si>
  <si>
    <t>Wirt</t>
  </si>
  <si>
    <t>Wood</t>
  </si>
  <si>
    <t>Wyoming</t>
  </si>
  <si>
    <t>AK</t>
  </si>
  <si>
    <t>AL</t>
  </si>
  <si>
    <t>AR</t>
  </si>
  <si>
    <t>AZ</t>
  </si>
  <si>
    <t>CA</t>
  </si>
  <si>
    <t>CO</t>
  </si>
  <si>
    <t>CT</t>
  </si>
  <si>
    <t>DC</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</si>
  <si>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</si>
  <si>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</si>
  <si>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</si>
  <si>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</si>
  <si>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</si>
  <si>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</si>
  <si>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</si>
  <si>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</si>
  <si>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</si>
  <si>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</si>
  <si>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</si>
  <si>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</si>
  <si>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</si>
  <si>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</si>
  <si>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</si>
  <si>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</si>
  <si>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</si>
  <si>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</si>
  <si>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</si>
  <si>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</si>
  <si>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</si>
  <si>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</si>
  <si>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</si>
  <si>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</si>
  <si>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</si>
  <si>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</si>
  <si>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</si>
  <si>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</si>
  <si>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</si>
  <si>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</si>
  <si>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</si>
  <si>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</si>
  <si>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</si>
  <si>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</si>
  <si>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</si>
  <si>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</si>
  <si>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</si>
  <si>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</si>
  <si>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</si>
  <si>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</si>
  <si>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</si>
  <si>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WY</t>
  </si>
  <si>
    <t>Phone</t>
  </si>
  <si>
    <t>First</t>
  </si>
  <si>
    <t>Last</t>
  </si>
  <si>
    <t>Extension</t>
  </si>
  <si>
    <t>Email Address</t>
  </si>
  <si>
    <t>Contact Information</t>
  </si>
  <si>
    <t>(enter 10-digit number, no dashes or spaces)</t>
  </si>
  <si>
    <t>Overnight Delivery Service Provider</t>
  </si>
  <si>
    <t>Overnight Account Number</t>
  </si>
  <si>
    <t>Percentage</t>
  </si>
  <si>
    <t>Owner Role</t>
  </si>
  <si>
    <t>or FEIN</t>
  </si>
  <si>
    <t>Assisted Living</t>
  </si>
  <si>
    <t>1 Story Eff - Elderly</t>
  </si>
  <si>
    <t>1 Story 1BR - Elderly</t>
  </si>
  <si>
    <t>1 Story 2BR - Elderly</t>
  </si>
  <si>
    <t>Eff - Elderly</t>
  </si>
  <si>
    <t>1BR Elderly</t>
  </si>
  <si>
    <t>2BR Elderly</t>
  </si>
  <si>
    <t>Eff - Garden</t>
  </si>
  <si>
    <t>1BR Garden</t>
  </si>
  <si>
    <t>2BR Garden</t>
  </si>
  <si>
    <t>3BR Garden</t>
  </si>
  <si>
    <t>4BR Garden</t>
  </si>
  <si>
    <t>2+ Story 2BR Townhouse</t>
  </si>
  <si>
    <t>2+ Story 3BR Townhouse</t>
  </si>
  <si>
    <t>2+ Story 4BR Townhouse</t>
  </si>
  <si>
    <t>SRO</t>
  </si>
  <si>
    <t>1BR</t>
  </si>
  <si>
    <t>2BR</t>
  </si>
  <si>
    <t>3BR</t>
  </si>
  <si>
    <t>4BR</t>
  </si>
  <si>
    <t>40% AMI</t>
  </si>
  <si>
    <t>50% AMI</t>
  </si>
  <si>
    <t>60% AMI</t>
  </si>
  <si>
    <t>Property Composition</t>
  </si>
  <si>
    <t xml:space="preserve">       Rental Units:</t>
  </si>
  <si>
    <t xml:space="preserve">      Rental Floor Space:</t>
  </si>
  <si>
    <t>LIHTC</t>
  </si>
  <si>
    <t>Commercial Rental Costs</t>
  </si>
  <si>
    <t>Costs</t>
  </si>
  <si>
    <t>j.</t>
  </si>
  <si>
    <t>k.</t>
  </si>
  <si>
    <t>l.</t>
  </si>
  <si>
    <t>m.</t>
  </si>
  <si>
    <t>n.</t>
  </si>
  <si>
    <t>o.</t>
  </si>
  <si>
    <t>p.</t>
  </si>
  <si>
    <t>q.</t>
  </si>
  <si>
    <t>r.</t>
  </si>
  <si>
    <t>s.</t>
  </si>
  <si>
    <t>t.</t>
  </si>
  <si>
    <t>Other Costs (Specify):</t>
  </si>
  <si>
    <t>Total Other Costs</t>
  </si>
  <si>
    <t>Recording Fees</t>
  </si>
  <si>
    <t>Totals  (Line 1 thru Line 31)</t>
  </si>
  <si>
    <t>Other Costs (Total from Page 4)</t>
  </si>
  <si>
    <t>Developer's Fee Limit Calculation Assist:</t>
  </si>
  <si>
    <t>Amount of Total Residential Rental Adjusted Basis (Line 32)                                  that is Attributable to Market Rate Residential Rental Units that                                    are of Higher Quality than Low-Income Residential Rental Units</t>
  </si>
  <si>
    <t>Total Deductions (Lines 33 thru 37)</t>
  </si>
  <si>
    <t>Eligible Basis Before Increase in Basis                                                                    for High Cost Areas (Line 32 Less Line 38)</t>
  </si>
  <si>
    <t>Eligible Basis After Increase in Basis                                                                      for High Cost Areas (Line 39 + Line 40)</t>
  </si>
  <si>
    <t>Builder's Line Items Limits Calculation Assist:</t>
  </si>
  <si>
    <t>Builder's Gen. Req. - 6%</t>
  </si>
  <si>
    <t>Builder's Gen. OH - 2%</t>
  </si>
  <si>
    <t>Builder's Profit - 6%</t>
  </si>
  <si>
    <t>High Cost Adjustment, if Applicable (30% of Line 39) - Please truncate</t>
  </si>
  <si>
    <t>Number of Low-Income Units in the Property</t>
  </si>
  <si>
    <t>Less: Previous Year HCDA Allocations</t>
  </si>
  <si>
    <t>Current Year HCDA Totals</t>
  </si>
  <si>
    <t>Equity Proceeds Calculation</t>
  </si>
  <si>
    <t>Proposal</t>
  </si>
  <si>
    <t>Total HCDA Requested</t>
  </si>
  <si>
    <t>Gross Price Per Credit Dollar</t>
  </si>
  <si>
    <t>Net Price Per Credit Dollar</t>
  </si>
  <si>
    <t>Agg. TCDS per Year</t>
  </si>
  <si>
    <t>Property HCDA Totals*</t>
  </si>
  <si>
    <t>HCDA Totals</t>
  </si>
  <si>
    <t>Building by Building Eligible Housing Credit Dollar Amounts Requested</t>
  </si>
  <si>
    <t>Building by Building Calculation of the Eligible Housing Credit Dollar Amount</t>
  </si>
  <si>
    <t>Building 1 Qualified Basis</t>
  </si>
  <si>
    <t>Building 1 Applicable Percentage</t>
  </si>
  <si>
    <t>Building 2 Qualified Basis</t>
  </si>
  <si>
    <t>Building 2 Applicable Percentage</t>
  </si>
  <si>
    <t>Building 3 Qualified Basis</t>
  </si>
  <si>
    <t>Building 3 Applicable Percentage</t>
  </si>
  <si>
    <t>Building 4 Qualified Basis</t>
  </si>
  <si>
    <t>Building 4 Applicable Percentage</t>
  </si>
  <si>
    <t>Building 5 Qualified Basis</t>
  </si>
  <si>
    <t>Building 5 Applicable Percentage</t>
  </si>
  <si>
    <t>Building 6 Qualified Basis</t>
  </si>
  <si>
    <t>Building 6 Applicable Percentage</t>
  </si>
  <si>
    <t>Building 7 Qualified Basis</t>
  </si>
  <si>
    <t>Building 7 Applicable Percentage</t>
  </si>
  <si>
    <t>Building 8 Qualified Basis</t>
  </si>
  <si>
    <t>Building 8 Applicable Percentage</t>
  </si>
  <si>
    <t>Building 9 Qualified Basis</t>
  </si>
  <si>
    <t>Building 9 Applicable Percentage</t>
  </si>
  <si>
    <t>Building 10 Qualified Basis</t>
  </si>
  <si>
    <t>Building 10 Applicable Percentage</t>
  </si>
  <si>
    <t>Building 11 Qualified Basis</t>
  </si>
  <si>
    <t>Building 11 Applicable Percentage</t>
  </si>
  <si>
    <t>Building 12 Qualified Basis</t>
  </si>
  <si>
    <t>Building 12 Applicable Percentage</t>
  </si>
  <si>
    <t>Building 13 Qualified Basis</t>
  </si>
  <si>
    <t>Building 13 Applicable Percentage</t>
  </si>
  <si>
    <t>Building 14 Qualified Basis</t>
  </si>
  <si>
    <t>Building 14 Applicable Percentage</t>
  </si>
  <si>
    <t>Building 15 Qualified Basis</t>
  </si>
  <si>
    <t>Building 15 Applicable Percentage</t>
  </si>
  <si>
    <t>(Qualified Basis, Applicable Percentage, and Eligible HCDA amounts below must match each building's individual Schedule A)</t>
  </si>
  <si>
    <t>Complete a Schedule A for each building in the property for Allocation Requests.  Summarize the resulting property costs - uses of funds - below.</t>
  </si>
  <si>
    <t>Building by Building Uses of Funds</t>
  </si>
  <si>
    <t>Composite</t>
  </si>
  <si>
    <t>Federal Historic Tax Credit Equity</t>
  </si>
  <si>
    <t>State Historic Tax Credit Equity</t>
  </si>
  <si>
    <t>Deferred Developer Fee</t>
  </si>
  <si>
    <t>Total Sources of Funds</t>
  </si>
  <si>
    <t>Amort.</t>
  </si>
  <si>
    <t>Type</t>
  </si>
  <si>
    <t>Low-Income Housing Tax Credit Equity</t>
  </si>
  <si>
    <t>Permanent</t>
  </si>
  <si>
    <t>Subsidized Funding</t>
  </si>
  <si>
    <t>Type*</t>
  </si>
  <si>
    <t>Equity</t>
  </si>
  <si>
    <t>Uses of Funds - Summarize the property costs (from Line 32, page 3) below</t>
  </si>
  <si>
    <t>For properties requesting a state-designated basis boost, Required Deferred Developer's Fee Calculation Assist:</t>
  </si>
  <si>
    <t>Required DDF</t>
  </si>
  <si>
    <t>A</t>
  </si>
  <si>
    <t>B</t>
  </si>
  <si>
    <t>C</t>
  </si>
  <si>
    <t>Allowed</t>
  </si>
  <si>
    <t>Actual</t>
  </si>
  <si>
    <t>Difference</t>
  </si>
  <si>
    <t>Calculation</t>
  </si>
  <si>
    <t>(B x 20%) - C</t>
  </si>
  <si>
    <t>Effective Date of UA Schedule:</t>
  </si>
  <si>
    <t>Interior Square</t>
  </si>
  <si>
    <t>Footage of Units</t>
  </si>
  <si>
    <t>Target</t>
  </si>
  <si>
    <t>Applicable</t>
  </si>
  <si>
    <t>Rent Target</t>
  </si>
  <si>
    <t>Total Units</t>
  </si>
  <si>
    <t>Rental Assistance</t>
  </si>
  <si>
    <t>Some or all of the low-income units receive or will receive rental assistance:</t>
  </si>
  <si>
    <t>For property-based rental assistance, answer the following:</t>
  </si>
  <si>
    <t>Indicate which types of Rental Assistance are or will be received:</t>
  </si>
  <si>
    <t>Section 8 Certificates</t>
  </si>
  <si>
    <t>Section 8 Vouchers</t>
  </si>
  <si>
    <t>Expiration date of rental assistance contract:</t>
  </si>
  <si>
    <t>There is an option to renew the rental assistance contract:</t>
  </si>
  <si>
    <t>Number of units which are or will receive assistance:</t>
  </si>
  <si>
    <t>Number of total years of the rental assistance contract:</t>
  </si>
  <si>
    <t>Exterminating</t>
  </si>
  <si>
    <t>Trash Removal</t>
  </si>
  <si>
    <t>Snow Removal</t>
  </si>
  <si>
    <t>Janitor/Cleaning - Payroll/Contract</t>
  </si>
  <si>
    <t>Janitor/Cleaning - Supplies</t>
  </si>
  <si>
    <t>Security - Payroll/Contract</t>
  </si>
  <si>
    <t>Grounds - Payroll/Contract</t>
  </si>
  <si>
    <t>Grounds - Supplies</t>
  </si>
  <si>
    <t>Maintenance - Payroll/Contract</t>
  </si>
  <si>
    <t>Maintenance - Supplies</t>
  </si>
  <si>
    <t>Decorating - Supplies</t>
  </si>
  <si>
    <t>HVAC Maintenance</t>
  </si>
  <si>
    <t>Elevator Maintenance</t>
  </si>
  <si>
    <t>Office - Supplies</t>
  </si>
  <si>
    <t>Manager - Payroll</t>
  </si>
  <si>
    <t>Office Staff - Payroll</t>
  </si>
  <si>
    <t>Legal</t>
  </si>
  <si>
    <t>Auditing</t>
  </si>
  <si>
    <t>Bookkeeping/Accounting Fees</t>
  </si>
  <si>
    <t>Telephone/Answering Service</t>
  </si>
  <si>
    <t>Tax Credit Monitoring Fee</t>
  </si>
  <si>
    <t>Miscellaneous Administrative</t>
  </si>
  <si>
    <t>Miscellaneous Operating &amp; Maintenance</t>
  </si>
  <si>
    <t>Operating &amp; Maintenance:</t>
  </si>
  <si>
    <t>Total Operating &amp; Maintenance</t>
  </si>
  <si>
    <t>Electricity</t>
  </si>
  <si>
    <t>Gas</t>
  </si>
  <si>
    <t>Total Utilities</t>
  </si>
  <si>
    <t>Utilities:</t>
  </si>
  <si>
    <t>Miscellaneous Utilities</t>
  </si>
  <si>
    <t>Payroll Taxes</t>
  </si>
  <si>
    <t>Property &amp; Liability Insurance *</t>
  </si>
  <si>
    <t>Fidelity Bond</t>
  </si>
  <si>
    <t>Worker's Compensation</t>
  </si>
  <si>
    <t>Health Insurance &amp; Employee Benefits</t>
  </si>
  <si>
    <t>Total Taxes &amp; Insurance</t>
  </si>
  <si>
    <t>Taxes &amp; Insurance:</t>
  </si>
  <si>
    <t>Real Estate Taxes *</t>
  </si>
  <si>
    <t>Miscellaneous Taxes</t>
  </si>
  <si>
    <t>Miscellaneous Insurance</t>
  </si>
  <si>
    <t>Assigned Property Number</t>
  </si>
  <si>
    <t>Market &amp; Commercial</t>
  </si>
  <si>
    <t>Cash Flow Before Deferred Developer Fee Payment</t>
  </si>
  <si>
    <t>Cash Flow After Deferred Developer Fee Payment</t>
  </si>
  <si>
    <t>Debt Service Coverage Ratio Before Deferred Developer Fee Payment (1+ (Cash Flow Before Deferred Developer Fee Payment Divided By Debt Service))</t>
  </si>
  <si>
    <t>Debt Service Coverage Ratio After Deferred Developer Fee Payment (1+ (Cash Flow After Deferred Developer Fee Payment Divided By Debt Service))</t>
  </si>
  <si>
    <t>Estimated Annual Percentage of Increase for:</t>
  </si>
  <si>
    <t>Operating Expenses:</t>
  </si>
  <si>
    <t>Additions to Replacement Reserve</t>
  </si>
  <si>
    <t>Asset Management Fee</t>
  </si>
  <si>
    <t>Annual Income</t>
  </si>
  <si>
    <t>Vacancy Allowance</t>
  </si>
  <si>
    <t>Other Income - Monthly</t>
  </si>
  <si>
    <t>Low-Income Only</t>
  </si>
  <si>
    <t>Total Net Rent</t>
  </si>
  <si>
    <t>Total Other Income</t>
  </si>
  <si>
    <t xml:space="preserve">          Debt Service</t>
  </si>
  <si>
    <t>Cash Flow Before DDF Payment</t>
  </si>
  <si>
    <t>Less: DDF Payment</t>
  </si>
  <si>
    <t>DSCR Before DDF Payment</t>
  </si>
  <si>
    <t>Cash Flow After DDF Payment</t>
  </si>
  <si>
    <t>DSCR After DDF Payment</t>
  </si>
  <si>
    <t>Corporation</t>
  </si>
  <si>
    <t>Individual(s)</t>
  </si>
  <si>
    <t>Limited Partnership</t>
  </si>
  <si>
    <t>Limited Liability Corporation</t>
  </si>
  <si>
    <t>Other</t>
  </si>
  <si>
    <t>Building by Building Address Information</t>
  </si>
  <si>
    <t>Building 1 Address</t>
  </si>
  <si>
    <t>Building 2 Address</t>
  </si>
  <si>
    <t>Building 3 Address</t>
  </si>
  <si>
    <t>Building 4 Address</t>
  </si>
  <si>
    <t>Building 5 Address</t>
  </si>
  <si>
    <t>Building 6 Address</t>
  </si>
  <si>
    <t>Building 7 Address</t>
  </si>
  <si>
    <t>Building 8 Address</t>
  </si>
  <si>
    <t>Building 9 Address</t>
  </si>
  <si>
    <t>Building 10 Address</t>
  </si>
  <si>
    <t>Building 11 Address</t>
  </si>
  <si>
    <t>Building 12 Address</t>
  </si>
  <si>
    <t>Building 13 Address</t>
  </si>
  <si>
    <t>Building 14 Address</t>
  </si>
  <si>
    <t>Building 15 Address</t>
  </si>
  <si>
    <t>Residential Rental</t>
  </si>
  <si>
    <t>Number of</t>
  </si>
  <si>
    <t>Residential</t>
  </si>
  <si>
    <t>(Number of Low-Income Residential Rental Units and Number of Market Rate Residential Rental Units below must match each building's individual Schedule A)</t>
  </si>
  <si>
    <t>Building 1 Units</t>
  </si>
  <si>
    <t>Other Units</t>
  </si>
  <si>
    <t>(e.g. Manager</t>
  </si>
  <si>
    <t>or Security)</t>
  </si>
  <si>
    <t>Building 2 Units</t>
  </si>
  <si>
    <t>Building 3 Units</t>
  </si>
  <si>
    <t>Building 4 Units</t>
  </si>
  <si>
    <t>Building 5 Units</t>
  </si>
  <si>
    <t>Building 6 Units</t>
  </si>
  <si>
    <t>Building 7 Units</t>
  </si>
  <si>
    <t>Building 8 Units</t>
  </si>
  <si>
    <t>Building 9 Units</t>
  </si>
  <si>
    <t>Building 10 Units</t>
  </si>
  <si>
    <t>Building 11 Units</t>
  </si>
  <si>
    <t>Building 12 Units</t>
  </si>
  <si>
    <t>Building 13 Units</t>
  </si>
  <si>
    <t>Building 14 Units</t>
  </si>
  <si>
    <t>Building 15 Units</t>
  </si>
  <si>
    <t>Building by Building Unit Information</t>
  </si>
  <si>
    <t xml:space="preserve">Totals:  </t>
  </si>
  <si>
    <t>Property Costs and Adjusted Basis</t>
  </si>
  <si>
    <t>Property Costs and Adjusted Basis - (Continued)</t>
  </si>
  <si>
    <t>Expenses (From XIV):</t>
  </si>
  <si>
    <t>Gross Rents (From XIII)</t>
  </si>
  <si>
    <t>Net Rent - Low-Income Rental Units</t>
  </si>
  <si>
    <t>Net Rent - Market Rate Rental Units</t>
  </si>
  <si>
    <t>Acquisition/Rehab</t>
  </si>
  <si>
    <t>Adaptive Reuse</t>
  </si>
  <si>
    <t>New Construction/Rehab</t>
  </si>
  <si>
    <t>New Construction/Adaptive Reuse</t>
  </si>
  <si>
    <t>Property Type</t>
  </si>
  <si>
    <t>Indicate the Set-Aside Category from which this request requires housing credit dollar amounts:</t>
  </si>
  <si>
    <t>Score</t>
  </si>
  <si>
    <t>Deed</t>
  </si>
  <si>
    <t>Purchase Contract</t>
  </si>
  <si>
    <t>-- OR --</t>
  </si>
  <si>
    <t>Sponsor Characteristics (Maximum Points Available: 10)</t>
  </si>
  <si>
    <t>Elderly</t>
  </si>
  <si>
    <t>Homeless</t>
  </si>
  <si>
    <t>Displaced</t>
  </si>
  <si>
    <t>Handicapped</t>
  </si>
  <si>
    <t>Disabled</t>
  </si>
  <si>
    <t>Large</t>
  </si>
  <si>
    <t>Family</t>
  </si>
  <si>
    <t>Parent Family</t>
  </si>
  <si>
    <t>--OR--</t>
  </si>
  <si>
    <t>Preference for Properties Serving the Lowest Income Tenants (Maximum Points Available: 50)</t>
  </si>
  <si>
    <t>Percentage of the total residential rental units in the property hereby committed to serving qualified low-income tenants with annual incomes at or below 40% of the area median gross income:</t>
  </si>
  <si>
    <t>Percentage of the total residential rental units in the property hereby committed to serving qualified low-income tenants with annual incomes at or below 50% of the area median gross income:</t>
  </si>
  <si>
    <t>Initials</t>
  </si>
  <si>
    <t>Result</t>
  </si>
  <si>
    <t>Owner Representative's Name</t>
  </si>
  <si>
    <t>ARCHITECT:</t>
  </si>
  <si>
    <t>CONTRACTOR:</t>
  </si>
  <si>
    <t>Acq &amp; Rehab 4% and 9%</t>
  </si>
  <si>
    <t>New 9%</t>
  </si>
  <si>
    <t>Rehab 9%</t>
  </si>
  <si>
    <t>TEB Acq &amp; Rehab 4%</t>
  </si>
  <si>
    <t>TEB New 4%</t>
  </si>
  <si>
    <t>TEB Rehab 4%</t>
  </si>
  <si>
    <t>TEB Acq, Rehab, &amp; New 4%</t>
  </si>
  <si>
    <t>Acq, Rehab, &amp; New 4% and 9%</t>
  </si>
  <si>
    <t>Adaptive Re-Use 9%</t>
  </si>
  <si>
    <t>The non-profit entity is either a 501(c)(3) or a 501(c)(4) organization:</t>
  </si>
  <si>
    <t>The non-profit entity includes in its exempt purposes, the fostering of low-income housing:</t>
  </si>
  <si>
    <t>The non-profit entity is not affiliated with or controlled by a for-profit organization:</t>
  </si>
  <si>
    <t>XXIV.</t>
  </si>
  <si>
    <t>Property Type:</t>
  </si>
  <si>
    <t>Single Family Residential Rental</t>
  </si>
  <si>
    <t>Multi-Family Residential Rental</t>
  </si>
  <si>
    <t>Retirement Home</t>
  </si>
  <si>
    <t>Single Room Occupancy</t>
  </si>
  <si>
    <t>Transient</t>
  </si>
  <si>
    <t>Hospital</t>
  </si>
  <si>
    <t>Nursing Home</t>
  </si>
  <si>
    <t>Life Care Facility</t>
  </si>
  <si>
    <t>Dormitory</t>
  </si>
  <si>
    <t>Trailer Park</t>
  </si>
  <si>
    <t>Family &amp; Elderly</t>
  </si>
  <si>
    <t>Detached</t>
  </si>
  <si>
    <t>Garden</t>
  </si>
  <si>
    <t>Townhouse</t>
  </si>
  <si>
    <t>Condominium</t>
  </si>
  <si>
    <t>Total Units (D.1. plus D.2. plus D.3.):</t>
  </si>
  <si>
    <t>Total Buildings (E.1. plus E.2.):</t>
  </si>
  <si>
    <t>Total Square Footage of All Buildings (F.1. plus F.2.):</t>
  </si>
  <si>
    <t>The property has more than one building:</t>
  </si>
  <si>
    <t>[If 1. above is TRUE] The buildings are located on the same tract of land:</t>
  </si>
  <si>
    <t>[If 1. above is TRUE] The buildings are owned by the same person for Federal income tax purposes:</t>
  </si>
  <si>
    <t>[If 1. above is TRUE] The buildings are financed pursuant to a common plan of financing:</t>
  </si>
  <si>
    <t>One or more buildings in the property has four or fewer units:</t>
  </si>
  <si>
    <t>[If 2. above is TRUE] Such buildings are requesting rehabilitation credit (with or without acquisition credit) and the rehabilitation of the buildings is part of a development plan sponsored by a State or local government or a qualified non-profit organization as defined in Subsection 42(h)(5)(C):</t>
  </si>
  <si>
    <t xml:space="preserve">If 4. above is TRUE, the applicable fraction for such buildings shall not exceed 80% of the unit fraction for each such building. </t>
  </si>
  <si>
    <t>The property will provide social activities/facilities:</t>
  </si>
  <si>
    <t>The property will provide security features:</t>
  </si>
  <si>
    <t>The property will provide recreational activities/facilities:</t>
  </si>
  <si>
    <t>The property will provide other amenities, facilities, equipment or services not listed above:</t>
  </si>
  <si>
    <t>The property contains market rate residential rental units:</t>
  </si>
  <si>
    <t>[If C. above is TRUE] Describe:</t>
  </si>
  <si>
    <t>[If D. above is TRUE] Describe:</t>
  </si>
  <si>
    <t>[If E. above is TRUE] Describe:</t>
  </si>
  <si>
    <t>Total Interior Square Footage of all Residential Rental Units for All Buildings (from page 2):</t>
  </si>
  <si>
    <t>New Units</t>
  </si>
  <si>
    <t>Rehab Units</t>
  </si>
  <si>
    <t>Adaptive Reuse Units</t>
  </si>
  <si>
    <t>There is an identity of interest between the buyer and seller:</t>
  </si>
  <si>
    <t>Entity Name</t>
  </si>
  <si>
    <t>Is non profit involvement</t>
  </si>
  <si>
    <t>Is non profit pool</t>
  </si>
  <si>
    <t>Complete the following information regarding the participating non-profit entity:</t>
  </si>
  <si>
    <t>Name of the participating non-profit entity:</t>
  </si>
  <si>
    <t>Non profit type</t>
  </si>
  <si>
    <t>Applicant</t>
  </si>
  <si>
    <t>(Street Address)</t>
  </si>
  <si>
    <t>(City)</t>
  </si>
  <si>
    <t>(State)</t>
  </si>
  <si>
    <t>Participating non-profit entity contact information:</t>
  </si>
  <si>
    <t>(Contact Person)</t>
  </si>
  <si>
    <t>Name of the PHA:</t>
  </si>
  <si>
    <t>PHA contact person:</t>
  </si>
  <si>
    <t>PHA contact person title:</t>
  </si>
  <si>
    <t>[If 1. above is TRUE] Complete the following information regarding the applicable PHA:</t>
  </si>
  <si>
    <t>Size of site in acres</t>
  </si>
  <si>
    <t>A portion of the sources of funds for the property is provided or to be provided directly or indirectly from Federal subsidies (tax-exempt bond financing) or Federal funds:</t>
  </si>
  <si>
    <t>[If 1. above is TRUE] Provide information below regarding the Federal subsidies or Federal funds:</t>
  </si>
  <si>
    <t>Below-Market Rate Loans</t>
  </si>
  <si>
    <t>HOME Investment Partnership Financing</t>
  </si>
  <si>
    <t>Market Rate Loans</t>
  </si>
  <si>
    <t>Community Development Block Grant Financing</t>
  </si>
  <si>
    <t>Section 221(d)(3) Financing</t>
  </si>
  <si>
    <t>Section 236 Financing</t>
  </si>
  <si>
    <t>Section 312 Financing</t>
  </si>
  <si>
    <t>Other:</t>
  </si>
  <si>
    <t>Taxable Bond Financing</t>
  </si>
  <si>
    <t>[If 3. above is TRUE] Complete the information below:</t>
  </si>
  <si>
    <t>[If 5. above is TRUE] Complete the information below:</t>
  </si>
  <si>
    <t>Amount of funds for the property provided or to be provided directly or indirectly from State subsidies (grants):</t>
  </si>
  <si>
    <t>Amount of funds for the property provided or to be provided directly or indirectly from Local subsidies (grants):</t>
  </si>
  <si>
    <t>Other grant source and amount:</t>
  </si>
  <si>
    <t>Historic Rehabilitation Tax Credit - The buildings are the subject of a historic rehabilitation tax credit?</t>
  </si>
  <si>
    <t>Nonqualified Nonrecourse Financing - The buildings are the subject of nonqualified nonrecourse financing?</t>
  </si>
  <si>
    <t>Section 469 - One or more persons, of the ownership entity of this property, have been allowed benefit under the special transition rule of Section 469 relating to the passive losses and low-income housing under Section 502 of the Tax Reform Act:</t>
  </si>
  <si>
    <t>XXV.</t>
  </si>
  <si>
    <t>State, Local, or Other (non-Federal) Grants or Real Estate Tax Abatement</t>
  </si>
  <si>
    <t>The property will receive a real estate tax abatement, exemption, or reduction from the local taxing authority:</t>
  </si>
  <si>
    <t xml:space="preserve">from RD:    </t>
  </si>
  <si>
    <t>Extended Use</t>
  </si>
  <si>
    <t>15</t>
  </si>
  <si>
    <t>30</t>
  </si>
  <si>
    <t>40</t>
  </si>
  <si>
    <t>45</t>
  </si>
  <si>
    <t>50</t>
  </si>
  <si>
    <t>XXVI.</t>
  </si>
  <si>
    <t>XXVII.</t>
  </si>
  <si>
    <t>All services provided, other than housing, are designed to enable the residents to remain independent and avoid placement in a hospital, nursing home or intermediary care facility for the mentally or physically handicapped:</t>
  </si>
  <si>
    <t>[If 3. above is TRUE] That indicates that the property is not a hospital, a nursing home, or an intermediary care facility.</t>
  </si>
  <si>
    <t>XXVIII.</t>
  </si>
  <si>
    <t>Entity Name:</t>
  </si>
  <si>
    <t>Entity is related to the owner and/or developer:</t>
  </si>
  <si>
    <t>XXIX.</t>
  </si>
  <si>
    <t>The property is located in a Qualified Census Tract as designated by HUD:</t>
  </si>
  <si>
    <t>The property is located in a Difficult Development Area as designated by HUD:</t>
  </si>
  <si>
    <t>Placed in Service Date - Acquisition</t>
  </si>
  <si>
    <t>Placed in Service Date - New Construction or Rehabilitation</t>
  </si>
  <si>
    <t>XXX.</t>
  </si>
  <si>
    <t>The property is located in city limits:</t>
  </si>
  <si>
    <t>[If A. above is TRUE] Provide city name:</t>
  </si>
  <si>
    <t>Building by Building Placed In Service Information</t>
  </si>
  <si>
    <t>XXXI.</t>
  </si>
  <si>
    <t>Date of Binding Agreement (If Applicable)</t>
  </si>
  <si>
    <t>Owner Certification - The undersigned owner:</t>
  </si>
  <si>
    <t>understands and agrees that he/she is responsible for the inclusion with this application of any and all of the attachments necessary to substantiate and verify the property's satisfaction of the requirements for the type of application being herein submitted, and to substantiate and verify the responses and information provided in this application;</t>
  </si>
  <si>
    <t>Landscaping Cost Per Unit</t>
  </si>
  <si>
    <t>Stove Top Fire Suppression or Prevention</t>
  </si>
  <si>
    <t>Available</t>
  </si>
  <si>
    <t>Points</t>
  </si>
  <si>
    <t>T.P. Max</t>
  </si>
  <si>
    <t>Lowest Inc. max</t>
  </si>
  <si>
    <t>W/D Max</t>
  </si>
  <si>
    <t>Siding max</t>
  </si>
  <si>
    <t>For Profit</t>
  </si>
  <si>
    <t>or Not</t>
  </si>
  <si>
    <t>9.  Applicable Fraction is the lesser of Line 4 or Line 8:</t>
  </si>
  <si>
    <t>8.   Floor Space Fraction (Line 5/Line 7):</t>
  </si>
  <si>
    <t>For Reservation Requests and Carryover Allocation Requests, Eligible "Property HCDA Totals" should be carried forward from page 5, X.3.  For Allocation Requests, Eligible AND Requested "Property HCDA Totals" should be carried back from the totals on page 7a.</t>
  </si>
  <si>
    <t>Type of Low-Income Housing Tax Credits Requested:</t>
  </si>
  <si>
    <t>"Permanent" is the Financing Type for sources of funds which are regular amortizing debt or are considered "soft" (do not amortize regularly but will be completely paid), such as Deferred Developer Fees.  "Grant" is the Financing Type for sources of funds which will be forgiven and not repaid.  "Equity" is the Financing Type for sources of funds which are net proceeds from Tax Credit Equity (including Historic Tax Credits and General Partner/Managing Member contributions).</t>
  </si>
  <si>
    <t>Grant Total</t>
  </si>
  <si>
    <t>Commercial Area Use</t>
  </si>
  <si>
    <t>Accounts receivable</t>
  </si>
  <si>
    <t>Reserve for Taxes and Insurance</t>
  </si>
  <si>
    <t>Reserve for Replacements</t>
  </si>
  <si>
    <t>Operating Reserves</t>
  </si>
  <si>
    <t>Balance Prior to Transfer</t>
  </si>
  <si>
    <t>Amount Acquired with Property</t>
  </si>
  <si>
    <t>Cash</t>
  </si>
  <si>
    <t>Tenant security deposits</t>
  </si>
  <si>
    <t>Please list the balance of all assets (other than property and equipment) on hand prior to the transfer of the property and list, of those balances, the amounts that will be acquired with the property:</t>
  </si>
  <si>
    <t xml:space="preserve">            Annual Asset Management Fee</t>
  </si>
  <si>
    <t>15-Year Annual Cash Flow Projection (Year 1 from XX.  Years 2 through 15 calculated using annual percentage increases from XX.)</t>
  </si>
  <si>
    <t>Bldg Alloc Type</t>
  </si>
  <si>
    <t>Site Control Exp Date</t>
  </si>
  <si>
    <t>Is Identity of Interest Sale</t>
  </si>
  <si>
    <t>Is HUD Approval Required</t>
  </si>
  <si>
    <t>Site Control Type</t>
  </si>
  <si>
    <t>If applicable, expiration date of the site control document:</t>
  </si>
  <si>
    <t>Non Profit Involvement Pct</t>
  </si>
  <si>
    <t>Non Profit Name</t>
  </si>
  <si>
    <t>Non Profit Contact</t>
  </si>
  <si>
    <t>Non Profit Address</t>
  </si>
  <si>
    <t>Non Profit City</t>
  </si>
  <si>
    <t>Non Profit State</t>
  </si>
  <si>
    <t>Non Profit Phone</t>
  </si>
  <si>
    <t>Waitlist Organization</t>
  </si>
  <si>
    <t>Waitlist Contact Name</t>
  </si>
  <si>
    <t>Waitlist Contact Title</t>
  </si>
  <si>
    <t>Waitlist Contact Phone</t>
  </si>
  <si>
    <t>Has homeownership plan</t>
  </si>
  <si>
    <t>Entity Name - MUST TYPE IN EXCEL - DO NOT WRITE IN ENTITY NAME</t>
  </si>
  <si>
    <t>Number of full years between items 1. and 2. above:</t>
  </si>
  <si>
    <t>Total Rental Units</t>
  </si>
  <si>
    <t>Total Square Footage of All Buildings (F.1. plus F.2. plus F.3.):</t>
  </si>
  <si>
    <t>Census Tract</t>
  </si>
  <si>
    <t>Is QCT</t>
  </si>
  <si>
    <t>Is DDA</t>
  </si>
  <si>
    <t>Contact Name:</t>
  </si>
  <si>
    <t>Initial Fee</t>
  </si>
  <si>
    <t>Final Fee</t>
  </si>
  <si>
    <t>Late Submission Fee</t>
  </si>
  <si>
    <t>Administrative Waiver Fee</t>
  </si>
  <si>
    <t>Refund</t>
  </si>
  <si>
    <t>Point</t>
  </si>
  <si>
    <t xml:space="preserve">CEO's Name:   </t>
  </si>
  <si>
    <t xml:space="preserve">Mayor's Name:   </t>
  </si>
  <si>
    <t>hereby makes application to the Fund for reservation or carryover allocation or allocation of housing credit dollar amounts as listed in Section XII (page 7) of this application.</t>
  </si>
  <si>
    <t>Expenses (From XIX.E.):</t>
  </si>
  <si>
    <t>Window Treatments</t>
  </si>
  <si>
    <t>TC UNIT TYPE</t>
  </si>
  <si>
    <t>TC SQUARE FEET</t>
  </si>
  <si>
    <t>AVG</t>
  </si>
  <si>
    <t>OTHER UNIT TYPE</t>
  </si>
  <si>
    <t>*For example, "increases $50 every 5 years"</t>
  </si>
  <si>
    <t>Not For Profit</t>
  </si>
  <si>
    <t>in Years</t>
  </si>
  <si>
    <t>General Partner</t>
  </si>
  <si>
    <t>Co General Partner</t>
  </si>
  <si>
    <t>Managing Member</t>
  </si>
  <si>
    <t>Non Managing Member</t>
  </si>
  <si>
    <t>Limited Partner</t>
  </si>
  <si>
    <t>Special Limited Partner</t>
  </si>
  <si>
    <t>Investor Member</t>
  </si>
  <si>
    <t>Other Investor Member</t>
  </si>
  <si>
    <t>Sole Member</t>
  </si>
  <si>
    <t>Mandatory</t>
  </si>
  <si>
    <t>Optional</t>
  </si>
  <si>
    <t>Date Received by the Fund</t>
  </si>
  <si>
    <t>FOR FUND USE ONLY</t>
  </si>
  <si>
    <t>Single Family Homeownership</t>
  </si>
  <si>
    <t>New Construction/Acq/Adaptive Reuse</t>
  </si>
  <si>
    <t>New Construction/Acq/Rehab</t>
  </si>
  <si>
    <t xml:space="preserve">   Percentage of work time spent in development:</t>
  </si>
  <si>
    <t xml:space="preserve">Property is located in </t>
  </si>
  <si>
    <t>Elementary School</t>
  </si>
  <si>
    <t>Middle School</t>
  </si>
  <si>
    <t>High School</t>
  </si>
  <si>
    <t>A. T. Allison Elementary School</t>
  </si>
  <si>
    <t>Adamston Elementary School</t>
  </si>
  <si>
    <t>Alban Elementary School</t>
  </si>
  <si>
    <t>Altizer Elementary School</t>
  </si>
  <si>
    <t>Alum Creek Elementary School</t>
  </si>
  <si>
    <t>Anawalt Elementary School</t>
  </si>
  <si>
    <t>Andrew Jackson Middle School</t>
  </si>
  <si>
    <t>Andrews Heights Elementary School</t>
  </si>
  <si>
    <t>Anna Jarvis Elementary School</t>
  </si>
  <si>
    <t>Anne Bailey Elementary School</t>
  </si>
  <si>
    <t>Arnoldsburg School</t>
  </si>
  <si>
    <t>Ashton Elementary School</t>
  </si>
  <si>
    <t>Athens Elementary School</t>
  </si>
  <si>
    <t>Augusta Elementary School</t>
  </si>
  <si>
    <t>Baileysville Elementary &amp; Middle School</t>
  </si>
  <si>
    <t>Barboursville Middle School</t>
  </si>
  <si>
    <t>Barrackville Elementary/Middle School</t>
  </si>
  <si>
    <t>Beale Elementary School</t>
  </si>
  <si>
    <t>Beckley-Stratton Middle School</t>
  </si>
  <si>
    <t>Belington Middle School</t>
  </si>
  <si>
    <t>Belle Elementary School</t>
  </si>
  <si>
    <t>Belmont Elementary School</t>
  </si>
  <si>
    <t>Berkeley Heights Elementary School</t>
  </si>
  <si>
    <t>Berkeley Springs High School</t>
  </si>
  <si>
    <t>Berlin Mckinney Elementary School</t>
  </si>
  <si>
    <t>Bethlehem Elementary School</t>
  </si>
  <si>
    <t>Beverly Elementary School</t>
  </si>
  <si>
    <t>Big Elm Elementary School</t>
  </si>
  <si>
    <t>Big Otter Elementary School</t>
  </si>
  <si>
    <t>Birch River Elementary School</t>
  </si>
  <si>
    <t>Blackshere Elementary School</t>
  </si>
  <si>
    <t>Blennerhassett Elementary School</t>
  </si>
  <si>
    <t>Blennerhassett Middle School</t>
  </si>
  <si>
    <t>Bluefield High School</t>
  </si>
  <si>
    <t>Bluefield Middle School</t>
  </si>
  <si>
    <t>Bluewell Elementary School</t>
  </si>
  <si>
    <t>Bradley Elementary School</t>
  </si>
  <si>
    <t>Bradshaw Elementary School</t>
  </si>
  <si>
    <t>Brandywine Elementary School</t>
  </si>
  <si>
    <t>Braxton County High School</t>
  </si>
  <si>
    <t>Braxton County Middle School</t>
  </si>
  <si>
    <t>Bridge Elementary School</t>
  </si>
  <si>
    <t>Bridge Street Middle School</t>
  </si>
  <si>
    <t>Bridgeport High School</t>
  </si>
  <si>
    <t>Bridgeport Middle School</t>
  </si>
  <si>
    <t>Bridgeview Elementary School</t>
  </si>
  <si>
    <t>Brooke High School</t>
  </si>
  <si>
    <t>Bruceton School</t>
  </si>
  <si>
    <t>Brushfork Elementary School</t>
  </si>
  <si>
    <t>Buckhannon Academy Elementary School</t>
  </si>
  <si>
    <t>Buckhannon Upshur High School</t>
  </si>
  <si>
    <t>Buffalo High School</t>
  </si>
  <si>
    <t>Buffalo Middle School</t>
  </si>
  <si>
    <t>Burke Street Elementary School</t>
  </si>
  <si>
    <t>Burnsville Elementary School</t>
  </si>
  <si>
    <t>C. W. Shipley Elementary School</t>
  </si>
  <si>
    <t>Cabell Midland High School</t>
  </si>
  <si>
    <t>Calhoun Middle/High School</t>
  </si>
  <si>
    <t>Cameron Elementary School</t>
  </si>
  <si>
    <t>Cameron High School</t>
  </si>
  <si>
    <t>Capital High School</t>
  </si>
  <si>
    <t>Capon Bridge Elementary School</t>
  </si>
  <si>
    <t>Capon Bridge Middle School</t>
  </si>
  <si>
    <t>Cedar Grove Elementary School</t>
  </si>
  <si>
    <t>Cedar Grove Middle School</t>
  </si>
  <si>
    <t>Central Preston Middle School</t>
  </si>
  <si>
    <t>Ceredo-Kenova Middle School</t>
  </si>
  <si>
    <t>Ceres Elementary School</t>
  </si>
  <si>
    <t>Chamberlain Elementary School</t>
  </si>
  <si>
    <t>Chapmanville Middle School</t>
  </si>
  <si>
    <t>Chapmanville Regional High School</t>
  </si>
  <si>
    <t>Charles Town Middle School</t>
  </si>
  <si>
    <t>Cheat Lake Elementary School</t>
  </si>
  <si>
    <t>Cherry River Elementary School</t>
  </si>
  <si>
    <t>Chesapeake Elementary School</t>
  </si>
  <si>
    <t>Clay County High School</t>
  </si>
  <si>
    <t>Clay Elementary School</t>
  </si>
  <si>
    <t>Clay Middle School</t>
  </si>
  <si>
    <t>Clendenin Elementary School</t>
  </si>
  <si>
    <t>Cottageville Elementary School</t>
  </si>
  <si>
    <t>Cox Landing Elementary School</t>
  </si>
  <si>
    <t>Cranberry-Prosperity Elementary</t>
  </si>
  <si>
    <t>Criss Elementary School</t>
  </si>
  <si>
    <t>Cross Lanes Elementary School</t>
  </si>
  <si>
    <t>Culloden Elementary School</t>
  </si>
  <si>
    <t>Dingess Elementary School</t>
  </si>
  <si>
    <t>Doddridge County Elementary School</t>
  </si>
  <si>
    <t>Doddridge County High School</t>
  </si>
  <si>
    <t>Doddridge County Middle School</t>
  </si>
  <si>
    <t>Driswood Elementary School</t>
  </si>
  <si>
    <t>Du Pont Middle School</t>
  </si>
  <si>
    <t>Dunbar Middle School</t>
  </si>
  <si>
    <t>Dunlow Elementary School</t>
  </si>
  <si>
    <t>Eagle School Intermediate</t>
  </si>
  <si>
    <t>East Bank Middle School</t>
  </si>
  <si>
    <t>East Dale Elementary School</t>
  </si>
  <si>
    <t>East Fairmont High School</t>
  </si>
  <si>
    <t>East Hardy Early/Middle School</t>
  </si>
  <si>
    <t>East Hardy High School</t>
  </si>
  <si>
    <t>East Lynn Elementary School</t>
  </si>
  <si>
    <t>East Park Elementary School</t>
  </si>
  <si>
    <t>Eastern Greenbrier Middle School</t>
  </si>
  <si>
    <t>Edison Middle School</t>
  </si>
  <si>
    <t>Elk Elementary Center</t>
  </si>
  <si>
    <t>Elk Garden School</t>
  </si>
  <si>
    <t>Elkins High School</t>
  </si>
  <si>
    <t>Elkins Middle School</t>
  </si>
  <si>
    <t>Elkins Third Ward Elementary School</t>
  </si>
  <si>
    <t>Elkview Middle School</t>
  </si>
  <si>
    <t>Elm Grove Elementary School</t>
  </si>
  <si>
    <t>Emerson Elementary School</t>
  </si>
  <si>
    <t>Evans Elementary School</t>
  </si>
  <si>
    <t>Fairdale Elementary School</t>
  </si>
  <si>
    <t>Fairmont Senior High School</t>
  </si>
  <si>
    <t>Fairview Elementary School</t>
  </si>
  <si>
    <t>Fairview Middle School</t>
  </si>
  <si>
    <t>Fall River Elementary School</t>
  </si>
  <si>
    <t>Flatwoods Elementary School</t>
  </si>
  <si>
    <t>Flemington Elementary School</t>
  </si>
  <si>
    <t>Flinn Elementary School</t>
  </si>
  <si>
    <t>Fountain Primary School</t>
  </si>
  <si>
    <t>Frametown Elementary School</t>
  </si>
  <si>
    <t>Frankfort High School</t>
  </si>
  <si>
    <t>Frankfort Middle School</t>
  </si>
  <si>
    <t>Geary Elementary/Middle School</t>
  </si>
  <si>
    <t>Genoa Elementary School</t>
  </si>
  <si>
    <t>George C. Weimer Elementary School</t>
  </si>
  <si>
    <t>George Ward Elementary School</t>
  </si>
  <si>
    <t>George Washington Elementary School</t>
  </si>
  <si>
    <t>George Washington High School</t>
  </si>
  <si>
    <t>George Washington Middle School</t>
  </si>
  <si>
    <t>Gihon Elementary School</t>
  </si>
  <si>
    <t>Gilmer County High School</t>
  </si>
  <si>
    <t>Glenwood School (K-8)</t>
  </si>
  <si>
    <t>Grafton High School</t>
  </si>
  <si>
    <t>Grandview Elementary School</t>
  </si>
  <si>
    <t>Greenbrier East High School</t>
  </si>
  <si>
    <t>Greenbrier West High School</t>
  </si>
  <si>
    <t>Greenmont Elementary School</t>
  </si>
  <si>
    <t>Guyandotte Elementary School</t>
  </si>
  <si>
    <t>Hacker Valley Elementary School</t>
  </si>
  <si>
    <t>Hamilton Middle School</t>
  </si>
  <si>
    <t>Hampshire Senior High School</t>
  </si>
  <si>
    <t>Hannan High School</t>
  </si>
  <si>
    <t>Harman Elementary/High School</t>
  </si>
  <si>
    <t>Harpers Ferry Middle School</t>
  </si>
  <si>
    <t>Hayes Middle School</t>
  </si>
  <si>
    <t>Hedgesville High School</t>
  </si>
  <si>
    <t>Hedgesville Middle School</t>
  </si>
  <si>
    <t>Herbert Hoover High School</t>
  </si>
  <si>
    <t>Highlawn Elementary School</t>
  </si>
  <si>
    <t>Hillsboro Elementary School</t>
  </si>
  <si>
    <t>Hilltop Elementary School</t>
  </si>
  <si>
    <t>Hite Saunders Elementary School</t>
  </si>
  <si>
    <t>Holden Central Elementary School</t>
  </si>
  <si>
    <t>Holz Elementary School</t>
  </si>
  <si>
    <t>Horace Mann Middle School</t>
  </si>
  <si>
    <t>Hugh Dingess Elementary School</t>
  </si>
  <si>
    <t>Hundred High School</t>
  </si>
  <si>
    <t>Huntington High School</t>
  </si>
  <si>
    <t>Huntington Middle School</t>
  </si>
  <si>
    <t>Hurricane High School</t>
  </si>
  <si>
    <t>Iaeger Elementary School</t>
  </si>
  <si>
    <t>Independence High School</t>
  </si>
  <si>
    <t>Independence Middle School</t>
  </si>
  <si>
    <t>Jackson Middle School</t>
  </si>
  <si>
    <t>James Monroe High School</t>
  </si>
  <si>
    <t>Jane Lew Elementary School</t>
  </si>
  <si>
    <t>Jayenne Elementary School</t>
  </si>
  <si>
    <t>Jefferson Elementary Center</t>
  </si>
  <si>
    <t>Jefferson High School</t>
  </si>
  <si>
    <t>Jennings Randolph Elementary School</t>
  </si>
  <si>
    <t>John Adams Middle School</t>
  </si>
  <si>
    <t>John J. Cornwell</t>
  </si>
  <si>
    <t>John Marshall High School</t>
  </si>
  <si>
    <t>Johnson Elementary School</t>
  </si>
  <si>
    <t>Jumping Branch Elementary School</t>
  </si>
  <si>
    <t>Justice Elementary School</t>
  </si>
  <si>
    <t>Kasson Elementary/Middle School</t>
  </si>
  <si>
    <t>Kellogg Elementary School</t>
  </si>
  <si>
    <t>Keyser High School</t>
  </si>
  <si>
    <t>Keyser Middle School</t>
  </si>
  <si>
    <t>Kimball Elementary School</t>
  </si>
  <si>
    <t>Lashmeet/Matoaka Elementary School</t>
  </si>
  <si>
    <t>Lavalette Elementary School</t>
  </si>
  <si>
    <t>Leon Elementary School</t>
  </si>
  <si>
    <t>Lewis County High School</t>
  </si>
  <si>
    <t>Lincoln County High School</t>
  </si>
  <si>
    <t>Little Birch Elementary School</t>
  </si>
  <si>
    <t>Lizemore Elementary School</t>
  </si>
  <si>
    <t>Logan Elementary School</t>
  </si>
  <si>
    <t>Logan Middle School</t>
  </si>
  <si>
    <t>Logan Senior High School</t>
  </si>
  <si>
    <t>Long Drain School</t>
  </si>
  <si>
    <t>Lost Creek Elementary School</t>
  </si>
  <si>
    <t>Lubeck Elementary School</t>
  </si>
  <si>
    <t>Lumberport Elementary School</t>
  </si>
  <si>
    <t>Madison Middle School</t>
  </si>
  <si>
    <t>Magnolia High School</t>
  </si>
  <si>
    <t>Malden Elementary School</t>
  </si>
  <si>
    <t>Man Elementary School</t>
  </si>
  <si>
    <t>Man Middle School</t>
  </si>
  <si>
    <t>Man Senior High School</t>
  </si>
  <si>
    <t>Mannington Middle School</t>
  </si>
  <si>
    <t>Marlinton Elementary School</t>
  </si>
  <si>
    <t>Marlinton Middle School</t>
  </si>
  <si>
    <t>Marmet Elementary School</t>
  </si>
  <si>
    <t>Martha Elementary School</t>
  </si>
  <si>
    <t>Martin Elementary School</t>
  </si>
  <si>
    <t>Martinsburg High School</t>
  </si>
  <si>
    <t>Martinsburg North Middle School</t>
  </si>
  <si>
    <t>Martinsburg South Middle School</t>
  </si>
  <si>
    <t>Mary Ingles Elementary School</t>
  </si>
  <si>
    <t>Maysville Elementary School</t>
  </si>
  <si>
    <t>Melrose Elementary School</t>
  </si>
  <si>
    <t>Middle Creek Elementary School</t>
  </si>
  <si>
    <t>Midway Elementary School</t>
  </si>
  <si>
    <t>Mill Creek Intermediate School</t>
  </si>
  <si>
    <t>Milton Elementary School</t>
  </si>
  <si>
    <t>Milton Middle School</t>
  </si>
  <si>
    <t>Mineral Wells Elementary School</t>
  </si>
  <si>
    <t>Mingo Central Comprehensive High School</t>
  </si>
  <si>
    <t>Monongah Elementary School</t>
  </si>
  <si>
    <t>Monongah Middle School</t>
  </si>
  <si>
    <t>Montcalm Elementary School</t>
  </si>
  <si>
    <t>Montcalm High School</t>
  </si>
  <si>
    <t>Montrose Elementary School</t>
  </si>
  <si>
    <t>Moorefield High School</t>
  </si>
  <si>
    <t>Moorefield Middle School</t>
  </si>
  <si>
    <t>Morgantown High School</t>
  </si>
  <si>
    <t>Moundsville Middle School</t>
  </si>
  <si>
    <t>Mount View High School</t>
  </si>
  <si>
    <t>Mountain Ridge Intermediate</t>
  </si>
  <si>
    <t>Mullens Elementary School</t>
  </si>
  <si>
    <t>Mullens Middle School</t>
  </si>
  <si>
    <t>Musselman High School</t>
  </si>
  <si>
    <t>Musselman Middle School</t>
  </si>
  <si>
    <t>Mylan Park Elementary School</t>
  </si>
  <si>
    <t>Neale Elementary School</t>
  </si>
  <si>
    <t>New Creek Primary School</t>
  </si>
  <si>
    <t>New Haven Elementary School</t>
  </si>
  <si>
    <t>New Manchester Elementary School</t>
  </si>
  <si>
    <t>New Martinsville School</t>
  </si>
  <si>
    <t>Nicholas County High School</t>
  </si>
  <si>
    <t>Nichols Elementary School</t>
  </si>
  <si>
    <t>Nitro Elementary School</t>
  </si>
  <si>
    <t>Nitro High School</t>
  </si>
  <si>
    <t>North Fork Elementary School</t>
  </si>
  <si>
    <t>North Marion High School</t>
  </si>
  <si>
    <t>North View Elementary School</t>
  </si>
  <si>
    <t>Norwood Elementary School</t>
  </si>
  <si>
    <t>Oak Glen High School</t>
  </si>
  <si>
    <t>Oak Glen Middle School</t>
  </si>
  <si>
    <t>Oakvale School</t>
  </si>
  <si>
    <t>Oceana Middle School</t>
  </si>
  <si>
    <t>Ona Elementary School</t>
  </si>
  <si>
    <t>Orchard View Intermediate School</t>
  </si>
  <si>
    <t>Overbrook Elementary School</t>
  </si>
  <si>
    <t>Paden City Elementary School</t>
  </si>
  <si>
    <t>Paden City High School</t>
  </si>
  <si>
    <t>Panther Creek Elementary School</t>
  </si>
  <si>
    <t>Park Middle School</t>
  </si>
  <si>
    <t>Parkersburg High School</t>
  </si>
  <si>
    <t>Parkersburg South High School</t>
  </si>
  <si>
    <t>Paw Paw Elementary School</t>
  </si>
  <si>
    <t>Paw Paw High School</t>
  </si>
  <si>
    <t>Pendleton County Middle/High School</t>
  </si>
  <si>
    <t>Petersburg Elementary School</t>
  </si>
  <si>
    <t>Petersburg High School</t>
  </si>
  <si>
    <t>Peterson-Central Elementary School</t>
  </si>
  <si>
    <t>Peterstown Elementary School</t>
  </si>
  <si>
    <t>Peterstown Middle School</t>
  </si>
  <si>
    <t>Philip Barbour High School Complex</t>
  </si>
  <si>
    <t>Philippi Elementary School</t>
  </si>
  <si>
    <t>Philippi Middle School</t>
  </si>
  <si>
    <t>Piedmont Year-Round Education</t>
  </si>
  <si>
    <t>Pikeview High School</t>
  </si>
  <si>
    <t>Pikeview Middle School</t>
  </si>
  <si>
    <t>Pinch Elementary School</t>
  </si>
  <si>
    <t>Pineville Elementary School</t>
  </si>
  <si>
    <t>Pineville Middle School</t>
  </si>
  <si>
    <t>Pleasant Hill School</t>
  </si>
  <si>
    <t>Pleasants County Middle School</t>
  </si>
  <si>
    <t>Poca High School</t>
  </si>
  <si>
    <t>Poca Middle School</t>
  </si>
  <si>
    <t>Pocahontas County High School</t>
  </si>
  <si>
    <t>Point Harmony Elementary School</t>
  </si>
  <si>
    <t>Point Pleasant Junior/Senior High School</t>
  </si>
  <si>
    <t>Potomack Intermediate School</t>
  </si>
  <si>
    <t>Pratt Elementary School</t>
  </si>
  <si>
    <t>Preston High School</t>
  </si>
  <si>
    <t>Prichard Elementary School</t>
  </si>
  <si>
    <t>Princeton Middle School</t>
  </si>
  <si>
    <t>Princeton Senior High School</t>
  </si>
  <si>
    <t>Ranson Elementary School</t>
  </si>
  <si>
    <t>Ravenswood Grade School</t>
  </si>
  <si>
    <t>Ravenswood High School</t>
  </si>
  <si>
    <t>Ravenswood Middle School</t>
  </si>
  <si>
    <t>Richmond Elementary School</t>
  </si>
  <si>
    <t>Richwood High School</t>
  </si>
  <si>
    <t>Richwood Middle School</t>
  </si>
  <si>
    <t>Ripley Elementary School</t>
  </si>
  <si>
    <t>Ripley High School</t>
  </si>
  <si>
    <t>Ripley Middle School</t>
  </si>
  <si>
    <t>Ritchie County High School</t>
  </si>
  <si>
    <t>Ritchie Elementary School</t>
  </si>
  <si>
    <t>River View High School</t>
  </si>
  <si>
    <t>Riverside High School</t>
  </si>
  <si>
    <t>Rivesville Elementary/Middle School</t>
  </si>
  <si>
    <t>Road Branch Elementary &amp; Middle School</t>
  </si>
  <si>
    <t>Roanoke Elementary School</t>
  </si>
  <si>
    <t>Robert L. Bland Middle School</t>
  </si>
  <si>
    <t>Romney Elementary School</t>
  </si>
  <si>
    <t>Romney Middle School</t>
  </si>
  <si>
    <t>Roosevelt Elementary School</t>
  </si>
  <si>
    <t>Rowlesburg School</t>
  </si>
  <si>
    <t>Ruffner Elementary School</t>
  </si>
  <si>
    <t>Ruthlawn Elementary School</t>
  </si>
  <si>
    <t>Saint Albans High School</t>
  </si>
  <si>
    <t>Salt Rock Elementary School</t>
  </si>
  <si>
    <t>Sand Hill Elementary School</t>
  </si>
  <si>
    <t>Sandy River Middle School</t>
  </si>
  <si>
    <t>Scott High School</t>
  </si>
  <si>
    <t>Shady Spring Middle School</t>
  </si>
  <si>
    <t>Sharon Dawes Elementary School</t>
  </si>
  <si>
    <t>Shepherdstown Elementary School</t>
  </si>
  <si>
    <t>Shepherdstown Middle School</t>
  </si>
  <si>
    <t>Sherman Elementary School</t>
  </si>
  <si>
    <t>Sherman High School</t>
  </si>
  <si>
    <t>Sherman Junior High School</t>
  </si>
  <si>
    <t>Sherrard Middle School</t>
  </si>
  <si>
    <t>Shoals Elementary School</t>
  </si>
  <si>
    <t>Short Line School</t>
  </si>
  <si>
    <t>Simpson Elementary School</t>
  </si>
  <si>
    <t>Sissonville Elementary School</t>
  </si>
  <si>
    <t>Sissonville High School</t>
  </si>
  <si>
    <t>Sissonville Middle School</t>
  </si>
  <si>
    <t>Sistersville Elementary School</t>
  </si>
  <si>
    <t>Skyview Elementary School</t>
  </si>
  <si>
    <t>Slanesville Elementary School</t>
  </si>
  <si>
    <t>South Charleston High School</t>
  </si>
  <si>
    <t>South Charleston Middle School</t>
  </si>
  <si>
    <t>South Harrison High School</t>
  </si>
  <si>
    <t>South Harrison Middle School</t>
  </si>
  <si>
    <t>South Jefferson Elementary School</t>
  </si>
  <si>
    <t>South Man Elementary School</t>
  </si>
  <si>
    <t>South Middle School</t>
  </si>
  <si>
    <t>Spencer Elementary School</t>
  </si>
  <si>
    <t>Spencer Middle School</t>
  </si>
  <si>
    <t>Spring Hill Elementary School</t>
  </si>
  <si>
    <t>Spring Mills Middle School</t>
  </si>
  <si>
    <t>Spring Valley High School</t>
  </si>
  <si>
    <t>Stonewall Jackson Middle School</t>
  </si>
  <si>
    <t>Summers County High School</t>
  </si>
  <si>
    <t>Summers Middle School</t>
  </si>
  <si>
    <t>Summersville Elementary School</t>
  </si>
  <si>
    <t>Summersville Middle School</t>
  </si>
  <si>
    <t>Sun Valley Elementary School</t>
  </si>
  <si>
    <t>Suncrest Middle School</t>
  </si>
  <si>
    <t>Sutton Elementary School</t>
  </si>
  <si>
    <t>Talcott Elementary School</t>
  </si>
  <si>
    <t>Taylor County Middle School</t>
  </si>
  <si>
    <t>Terra Alta/East Preston School</t>
  </si>
  <si>
    <t>Tolsia High School</t>
  </si>
  <si>
    <t>Tomahawk Intermediate School</t>
  </si>
  <si>
    <t>Trap Hill Middle School</t>
  </si>
  <si>
    <t>Triadelphia Middle School</t>
  </si>
  <si>
    <t>Tucker County High School</t>
  </si>
  <si>
    <t>Tug Valley High School</t>
  </si>
  <si>
    <t>Tygarts Valley Middle/High School</t>
  </si>
  <si>
    <t>Tyler Consolidated High School</t>
  </si>
  <si>
    <t>Tyler Consolidated Middle School</t>
  </si>
  <si>
    <t>University High School</t>
  </si>
  <si>
    <t>Van Devender Middle School</t>
  </si>
  <si>
    <t>Van Junior/Senior High School</t>
  </si>
  <si>
    <t>Verdunville Elementary School</t>
  </si>
  <si>
    <t>Vienna Elementary School</t>
  </si>
  <si>
    <t>Vinson Middle School</t>
  </si>
  <si>
    <t>Wahama High School</t>
  </si>
  <si>
    <t>Walton Elementary/Middle School</t>
  </si>
  <si>
    <t>Warm Springs Intermediate School</t>
  </si>
  <si>
    <t>Warm Springs Middle School</t>
  </si>
  <si>
    <t>Warwood School</t>
  </si>
  <si>
    <t>Washington High School</t>
  </si>
  <si>
    <t>Washington Irving Middle School</t>
  </si>
  <si>
    <t>Watson Elementary School</t>
  </si>
  <si>
    <t>Waverly Elementary School</t>
  </si>
  <si>
    <t>Wayne Elementary School</t>
  </si>
  <si>
    <t>Wayne High School</t>
  </si>
  <si>
    <t>Wayne Middle School</t>
  </si>
  <si>
    <t>Weberwood Elementary School</t>
  </si>
  <si>
    <t>Webster County High School</t>
  </si>
  <si>
    <t>Webster Springs Elementary School</t>
  </si>
  <si>
    <t>Weir High School</t>
  </si>
  <si>
    <t>Weir Middle School</t>
  </si>
  <si>
    <t>Welch Elementary School</t>
  </si>
  <si>
    <t>West Fairmont Middle School</t>
  </si>
  <si>
    <t>West Liberty Elementary School</t>
  </si>
  <si>
    <t>West Milford Elementary School</t>
  </si>
  <si>
    <t>West Taylor Elementary School</t>
  </si>
  <si>
    <t>Western Greenbrier Middle School</t>
  </si>
  <si>
    <t>Westside High School</t>
  </si>
  <si>
    <t>Westwood Middle School</t>
  </si>
  <si>
    <t>Wheeling Middle School</t>
  </si>
  <si>
    <t>Wheeling Park High School</t>
  </si>
  <si>
    <t>White Hall Elementary School</t>
  </si>
  <si>
    <t>Whitesville Elementary School</t>
  </si>
  <si>
    <t>Wildwood Middle School</t>
  </si>
  <si>
    <t>Williamstown High School</t>
  </si>
  <si>
    <t>Wilsonburg Elementary School</t>
  </si>
  <si>
    <t>Winchester Avenue Elementary School</t>
  </si>
  <si>
    <t>Winfield High School</t>
  </si>
  <si>
    <t>Winfield Middle School</t>
  </si>
  <si>
    <t>Wirt County High School</t>
  </si>
  <si>
    <t>Wirt County Middle School</t>
  </si>
  <si>
    <t>Wirt County Primary Center</t>
  </si>
  <si>
    <t>Woodrow Wilson High School</t>
  </si>
  <si>
    <t>Woodsdale Elementary School</t>
  </si>
  <si>
    <t>Worthington Elementary School</t>
  </si>
  <si>
    <t>Wright Denny Intermediate School</t>
  </si>
  <si>
    <t>Wyoming County East High School</t>
  </si>
  <si>
    <t>Zela Elementary School</t>
  </si>
  <si>
    <t>D</t>
  </si>
  <si>
    <t>Pipeline Properties</t>
  </si>
  <si>
    <t>Percentage of Households whose Gross Rent as a Percentage of Household Income is 30% or Greater</t>
  </si>
  <si>
    <t>Existing Housing</t>
  </si>
  <si>
    <t>Roofing Materials</t>
  </si>
  <si>
    <t>High-Speed Internet Access</t>
  </si>
  <si>
    <t>Total Ap WS</t>
  </si>
  <si>
    <t>Scoring Criterion Description</t>
  </si>
  <si>
    <t>Participation in the Most Recent Fund Application Workshop</t>
  </si>
  <si>
    <t>O.</t>
  </si>
  <si>
    <t>P.</t>
  </si>
  <si>
    <t>understands and agrees that the Fund has the right to have a designated construction professional of the Fund cost the property if the property is selected to receive tax credits to verify the reasonableness of the property costs;</t>
  </si>
  <si>
    <t>Acq &amp; Adaptive Re-Use 4% and 9%</t>
  </si>
  <si>
    <t>Allocation in the Placed in Service Year</t>
  </si>
  <si>
    <t>Allocation Type:</t>
  </si>
  <si>
    <t>Adjusted Basis (carried forward from page 3)</t>
  </si>
  <si>
    <t>Eligible Basis (From VIII. 41)</t>
  </si>
  <si>
    <t>Applicable Fraction (From VI. 9)</t>
  </si>
  <si>
    <t>Qualified Basis (From IX.  3)</t>
  </si>
  <si>
    <t>Syndication Costs as a Percentage of Gross Syndication Proceeds**</t>
  </si>
  <si>
    <t>Each existing building will be (was) acquired by purchase (as defined in Subsection 179(d)(2)):</t>
  </si>
  <si>
    <t>Section 220 Financing</t>
  </si>
  <si>
    <t>Section 221(d)(4) Financing</t>
  </si>
  <si>
    <t>Section223(f) Financing</t>
  </si>
  <si>
    <t>Total Residential Rental Adjusted Basis (carried forward from page 3)</t>
  </si>
  <si>
    <t>Builder's Cost - Bond Premium or Letter of Credit</t>
  </si>
  <si>
    <t>Building Permit Fee</t>
  </si>
  <si>
    <t>Total of DDF Payments</t>
  </si>
  <si>
    <t>Gross TPR as</t>
  </si>
  <si>
    <t>a Percentage of</t>
  </si>
  <si>
    <t>IRS Rent Rest.</t>
  </si>
  <si>
    <t>÷</t>
  </si>
  <si>
    <t>Land Cost per Acre</t>
  </si>
  <si>
    <t>Hard Cost Contingency</t>
  </si>
  <si>
    <t>Hard Cost Contingency Percentage</t>
  </si>
  <si>
    <t>nc</t>
  </si>
  <si>
    <t>Percentage of Hard Costs</t>
  </si>
  <si>
    <t>Total Construction Interest</t>
  </si>
  <si>
    <r>
      <t xml:space="preserve">Taxpayer Identification # </t>
    </r>
    <r>
      <rPr>
        <b/>
        <sz val="9"/>
        <rFont val="Calibri"/>
        <family val="2"/>
        <scheme val="minor"/>
      </rPr>
      <t>(enter hyphen after 2nd digit)</t>
    </r>
  </si>
  <si>
    <r>
      <t xml:space="preserve">*** ONLY USE THIS PAGE 1a IF THIS IS AN </t>
    </r>
    <r>
      <rPr>
        <b/>
        <u/>
        <sz val="12"/>
        <color rgb="FFFF0000"/>
        <rFont val="Calibri"/>
        <family val="2"/>
        <scheme val="minor"/>
      </rPr>
      <t>ALLOCATION REQUEST</t>
    </r>
    <r>
      <rPr>
        <b/>
        <sz val="12"/>
        <color rgb="FFFF0000"/>
        <rFont val="Calibri"/>
        <family val="2"/>
        <scheme val="minor"/>
      </rPr>
      <t xml:space="preserve"> ***</t>
    </r>
  </si>
  <si>
    <r>
      <t xml:space="preserve">*** ONLY USE THIS PAGE 2a IF THIS IS AN </t>
    </r>
    <r>
      <rPr>
        <b/>
        <u/>
        <sz val="12"/>
        <color rgb="FFFF0000"/>
        <rFont val="Calibri"/>
        <family val="2"/>
        <scheme val="minor"/>
      </rPr>
      <t>ALLOCATION REQUEST</t>
    </r>
    <r>
      <rPr>
        <b/>
        <sz val="12"/>
        <color rgb="FFFF0000"/>
        <rFont val="Calibri"/>
        <family val="2"/>
        <scheme val="minor"/>
      </rPr>
      <t xml:space="preserve"> ***</t>
    </r>
  </si>
  <si>
    <t>Acquisition of Existing Structures †</t>
  </si>
  <si>
    <r>
      <t>Construction</t>
    </r>
    <r>
      <rPr>
        <b/>
        <sz val="7"/>
        <rFont val="Calibri"/>
        <family val="2"/>
        <scheme val="minor"/>
      </rPr>
      <t xml:space="preserve"> </t>
    </r>
    <r>
      <rPr>
        <b/>
        <sz val="10"/>
        <rFont val="Calibri"/>
        <family val="2"/>
        <scheme val="minor"/>
      </rPr>
      <t>Insurance</t>
    </r>
  </si>
  <si>
    <r>
      <t xml:space="preserve">*** ONLY USE THIS PAGE 5a IF THIS IS AN </t>
    </r>
    <r>
      <rPr>
        <b/>
        <u/>
        <sz val="12"/>
        <color rgb="FFFF0000"/>
        <rFont val="Calibri"/>
        <family val="2"/>
        <scheme val="minor"/>
      </rPr>
      <t>ALLOCATION REQUEST</t>
    </r>
    <r>
      <rPr>
        <b/>
        <sz val="12"/>
        <color rgb="FFFF0000"/>
        <rFont val="Calibri"/>
        <family val="2"/>
        <scheme val="minor"/>
      </rPr>
      <t xml:space="preserve"> ***</t>
    </r>
  </si>
  <si>
    <r>
      <t xml:space="preserve">*** ONLY USE THIS PAGE 5b IF THIS IS AN </t>
    </r>
    <r>
      <rPr>
        <b/>
        <u/>
        <sz val="12"/>
        <color rgb="FFFF0000"/>
        <rFont val="Calibri"/>
        <family val="2"/>
        <scheme val="minor"/>
      </rPr>
      <t>ALLOCATION REQUEST</t>
    </r>
    <r>
      <rPr>
        <b/>
        <sz val="12"/>
        <color rgb="FFFF0000"/>
        <rFont val="Calibri"/>
        <family val="2"/>
        <scheme val="minor"/>
      </rPr>
      <t xml:space="preserve"> ***</t>
    </r>
  </si>
  <si>
    <r>
      <t xml:space="preserve">Total (Syndication Costs are </t>
    </r>
    <r>
      <rPr>
        <b/>
        <u/>
        <sz val="10"/>
        <rFont val="Calibri"/>
        <family val="2"/>
        <scheme val="minor"/>
      </rPr>
      <t>not</t>
    </r>
    <r>
      <rPr>
        <b/>
        <sz val="10"/>
        <rFont val="Calibri"/>
        <family val="2"/>
        <scheme val="minor"/>
      </rPr>
      <t xml:space="preserve"> to be included in Property Costs - Section VII.)</t>
    </r>
  </si>
  <si>
    <t>Source of Utility Allowance (must be determined in accordance with Treasury Regulation § 1.42-10)</t>
  </si>
  <si>
    <r>
      <rPr>
        <b/>
        <u/>
        <sz val="10"/>
        <rFont val="Calibri"/>
        <family val="2"/>
        <scheme val="minor"/>
      </rPr>
      <t xml:space="preserve">                                                                    </t>
    </r>
    <r>
      <rPr>
        <b/>
        <sz val="10"/>
        <rFont val="Calibri"/>
        <family val="2"/>
        <scheme val="minor"/>
      </rPr>
      <t xml:space="preserve"> , </t>
    </r>
    <r>
      <rPr>
        <b/>
        <u/>
        <sz val="10"/>
        <rFont val="Calibri"/>
        <family val="2"/>
        <scheme val="minor"/>
      </rPr>
      <t xml:space="preserve">                    </t>
    </r>
    <r>
      <rPr>
        <b/>
        <sz val="10"/>
        <rFont val="Calibri"/>
        <family val="2"/>
        <scheme val="minor"/>
      </rPr>
      <t>.</t>
    </r>
  </si>
  <si>
    <r>
      <t xml:space="preserve">Signed and sworn to before me, the undersigned authority on this </t>
    </r>
    <r>
      <rPr>
        <b/>
        <u/>
        <sz val="10"/>
        <rFont val="Calibri"/>
        <family val="2"/>
        <scheme val="minor"/>
      </rPr>
      <t xml:space="preserve">                             </t>
    </r>
    <r>
      <rPr>
        <b/>
        <sz val="10"/>
        <rFont val="Calibri"/>
        <family val="2"/>
        <scheme val="minor"/>
      </rPr>
      <t xml:space="preserve"> day of </t>
    </r>
    <r>
      <rPr>
        <b/>
        <u/>
        <sz val="10"/>
        <rFont val="Calibri"/>
        <family val="2"/>
        <scheme val="minor"/>
      </rPr>
      <t xml:space="preserve">                                                                 </t>
    </r>
    <r>
      <rPr>
        <b/>
        <sz val="10"/>
        <rFont val="Calibri"/>
        <family val="2"/>
        <scheme val="minor"/>
      </rPr>
      <t xml:space="preserve"> ,</t>
    </r>
    <r>
      <rPr>
        <b/>
        <u/>
        <sz val="10"/>
        <rFont val="Calibri"/>
        <family val="2"/>
        <scheme val="minor"/>
      </rPr>
      <t xml:space="preserve">                     </t>
    </r>
    <r>
      <rPr>
        <b/>
        <sz val="10"/>
        <rFont val="Calibri"/>
        <family val="2"/>
        <scheme val="minor"/>
      </rPr>
      <t>.</t>
    </r>
  </si>
  <si>
    <r>
      <t xml:space="preserve">Complete the timetable below for the </t>
    </r>
    <r>
      <rPr>
        <b/>
        <u/>
        <sz val="10"/>
        <rFont val="Calibri"/>
        <family val="2"/>
        <scheme val="minor"/>
      </rPr>
      <t>property</t>
    </r>
    <r>
      <rPr>
        <b/>
        <sz val="10"/>
        <rFont val="Calibri"/>
        <family val="2"/>
        <scheme val="minor"/>
      </rPr>
      <t xml:space="preserve"> using anticipated or actual dates.  With the exception of A. below (year only), provide a </t>
    </r>
    <r>
      <rPr>
        <b/>
        <u/>
        <sz val="10"/>
        <rFont val="Calibri"/>
        <family val="2"/>
        <scheme val="minor"/>
      </rPr>
      <t>complete date</t>
    </r>
    <r>
      <rPr>
        <b/>
        <sz val="10"/>
        <rFont val="Calibri"/>
        <family val="2"/>
        <scheme val="minor"/>
      </rPr>
      <t xml:space="preserve"> (month, day, and year).  Indicate N/A for not applicable.</t>
    </r>
  </si>
  <si>
    <r>
      <t xml:space="preserve">Date of the End of the </t>
    </r>
    <r>
      <rPr>
        <b/>
        <u/>
        <sz val="10"/>
        <rFont val="Calibri"/>
        <family val="2"/>
        <scheme val="minor"/>
      </rPr>
      <t>First</t>
    </r>
    <r>
      <rPr>
        <b/>
        <sz val="10"/>
        <rFont val="Calibri"/>
        <family val="2"/>
        <scheme val="minor"/>
      </rPr>
      <t xml:space="preserve"> Tax Year for Which Credit Will Be Claimed                       </t>
    </r>
  </si>
  <si>
    <r>
      <t xml:space="preserve">Consultant - </t>
    </r>
    <r>
      <rPr>
        <b/>
        <i/>
        <sz val="10"/>
        <rFont val="Calibri"/>
        <family val="2"/>
        <scheme val="minor"/>
      </rPr>
      <t xml:space="preserve">Consulting Agreement detailing work and compensation </t>
    </r>
    <r>
      <rPr>
        <b/>
        <i/>
        <u/>
        <sz val="10"/>
        <rFont val="Calibri"/>
        <family val="2"/>
        <scheme val="minor"/>
      </rPr>
      <t>must</t>
    </r>
    <r>
      <rPr>
        <b/>
        <i/>
        <sz val="10"/>
        <rFont val="Calibri"/>
        <family val="2"/>
        <scheme val="minor"/>
      </rPr>
      <t xml:space="preserve"> be attached to the property's Reservation Request</t>
    </r>
    <r>
      <rPr>
        <b/>
        <sz val="10"/>
        <rFont val="Calibri"/>
        <family val="2"/>
        <scheme val="minor"/>
      </rPr>
      <t>.</t>
    </r>
  </si>
  <si>
    <r>
      <t xml:space="preserve">Number of Buildings </t>
    </r>
    <r>
      <rPr>
        <b/>
        <u/>
        <sz val="10"/>
        <rFont val="Calibri"/>
        <family val="2"/>
        <scheme val="minor"/>
      </rPr>
      <t>without</t>
    </r>
    <r>
      <rPr>
        <b/>
        <sz val="10"/>
        <rFont val="Calibri"/>
        <family val="2"/>
        <scheme val="minor"/>
      </rPr>
      <t xml:space="preserve"> Residential Rental Units:</t>
    </r>
  </si>
  <si>
    <r>
      <t xml:space="preserve">Total Square Footage of all </t>
    </r>
    <r>
      <rPr>
        <b/>
        <u/>
        <sz val="10"/>
        <rFont val="Calibri"/>
        <family val="2"/>
        <scheme val="minor"/>
      </rPr>
      <t>remaining</t>
    </r>
    <r>
      <rPr>
        <b/>
        <sz val="10"/>
        <rFont val="Calibri"/>
        <family val="2"/>
        <scheme val="minor"/>
      </rPr>
      <t xml:space="preserve"> Residential (non-commercial) Space for All Buildings (including Common Areas, Common Facilities, and Resident Manager/Maintenance/Security Units from D.1. above):</t>
    </r>
  </si>
  <si>
    <r>
      <t xml:space="preserve">All Federal subsidies (tax-exempt bond financing) or Federal funds, </t>
    </r>
    <r>
      <rPr>
        <b/>
        <u/>
        <sz val="10"/>
        <rFont val="Calibri"/>
        <family val="2"/>
        <scheme val="minor"/>
      </rPr>
      <t>in the form of a grant</t>
    </r>
    <r>
      <rPr>
        <b/>
        <sz val="10"/>
        <rFont val="Calibri"/>
        <family val="2"/>
        <scheme val="minor"/>
      </rPr>
      <t>, are deducted from the adjusted basis to determine the eligible basis of each building:</t>
    </r>
  </si>
  <si>
    <r>
      <t xml:space="preserve">The Federal subsidies (tax-exempt bond financing), </t>
    </r>
    <r>
      <rPr>
        <b/>
        <u/>
        <sz val="10"/>
        <rFont val="Calibri"/>
        <family val="2"/>
        <scheme val="minor"/>
      </rPr>
      <t>in the form of a loan</t>
    </r>
    <r>
      <rPr>
        <b/>
        <sz val="10"/>
        <rFont val="Calibri"/>
        <family val="2"/>
        <scheme val="minor"/>
      </rPr>
      <t>, are excluded from the eligible basis of the buildings:</t>
    </r>
  </si>
  <si>
    <r>
      <t xml:space="preserve">Subsection 201(a) - The property is </t>
    </r>
    <r>
      <rPr>
        <b/>
        <u/>
        <sz val="10"/>
        <rFont val="Calibri"/>
        <family val="2"/>
        <scheme val="minor"/>
      </rPr>
      <t>NOT</t>
    </r>
    <r>
      <rPr>
        <b/>
        <sz val="10"/>
        <rFont val="Calibri"/>
        <family val="2"/>
        <scheme val="minor"/>
      </rPr>
      <t xml:space="preserve"> subject to the amendments made by Section 201(a) of the Tax Reform Act, relating to depreciation:</t>
    </r>
  </si>
  <si>
    <r>
      <t xml:space="preserve">Placed in service date (by the latest owner) of the </t>
    </r>
    <r>
      <rPr>
        <b/>
        <u/>
        <sz val="10"/>
        <rFont val="Calibri"/>
        <family val="2"/>
        <scheme val="minor"/>
      </rPr>
      <t>most recently</t>
    </r>
    <r>
      <rPr>
        <b/>
        <sz val="10"/>
        <rFont val="Calibri"/>
        <family val="2"/>
        <scheme val="minor"/>
      </rPr>
      <t xml:space="preserve"> placed in service building in the property:</t>
    </r>
  </si>
  <si>
    <r>
      <t xml:space="preserve">If 3. above calculates to less than ten years, the buildings in the property are </t>
    </r>
    <r>
      <rPr>
        <b/>
        <i/>
        <u/>
        <sz val="10"/>
        <rFont val="Calibri"/>
        <family val="2"/>
        <scheme val="minor"/>
      </rPr>
      <t>not</t>
    </r>
    <r>
      <rPr>
        <b/>
        <i/>
        <sz val="10"/>
        <rFont val="Calibri"/>
        <family val="2"/>
        <scheme val="minor"/>
      </rPr>
      <t xml:space="preserve"> eligible for acquisition credit.</t>
    </r>
  </si>
  <si>
    <r>
      <t xml:space="preserve">Indicate those items that are provided to the tenants in the units </t>
    </r>
    <r>
      <rPr>
        <b/>
        <u/>
        <sz val="10"/>
        <rFont val="Calibri"/>
        <family val="2"/>
        <scheme val="minor"/>
      </rPr>
      <t>OR</t>
    </r>
    <r>
      <rPr>
        <b/>
        <sz val="10"/>
        <rFont val="Calibri"/>
        <family val="2"/>
        <scheme val="minor"/>
      </rPr>
      <t xml:space="preserve"> for common use for all tenants:</t>
    </r>
  </si>
  <si>
    <r>
      <t xml:space="preserve">At the time of occupancy, </t>
    </r>
    <r>
      <rPr>
        <b/>
        <u/>
        <sz val="10"/>
        <rFont val="Calibri"/>
        <family val="2"/>
        <scheme val="minor"/>
      </rPr>
      <t>all</t>
    </r>
    <r>
      <rPr>
        <b/>
        <sz val="10"/>
        <rFont val="Calibri"/>
        <family val="2"/>
        <scheme val="minor"/>
      </rPr>
      <t xml:space="preserve"> residential rental units will be in a decent, safe and sanitary condition, and suitable for occupancy under local health, safety and building codes:</t>
    </r>
  </si>
  <si>
    <t>Per Unit</t>
  </si>
  <si>
    <t>Per Square Footage of All Buildings</t>
  </si>
  <si>
    <t>Total Architect &amp; Engineering Fees</t>
  </si>
  <si>
    <t>Soft Cost Contingency</t>
  </si>
  <si>
    <t>Soft Cost Contingency Percentage</t>
  </si>
  <si>
    <t xml:space="preserve">PROPERTY NAME: </t>
  </si>
  <si>
    <t xml:space="preserve">NUMBER OF UNITS: </t>
  </si>
  <si>
    <t>AMOUNT PER</t>
  </si>
  <si>
    <t>PERCENTAGE OF</t>
  </si>
  <si>
    <t>COST DESCRIPTION</t>
  </si>
  <si>
    <t>TOTAL PROPERTY COSTS</t>
  </si>
  <si>
    <t>BUILDER'S GENERAL REQUIREMENT</t>
  </si>
  <si>
    <t>BUILDER'S GENERAL OVERHEAD</t>
  </si>
  <si>
    <t>BUILDER'S PROFIT</t>
  </si>
  <si>
    <t>BUILDER'S BOND PREMIUM-LOC</t>
  </si>
  <si>
    <t>BUILDING PERMIT FEE</t>
  </si>
  <si>
    <t>ARCHITECT DESIGN FEE</t>
  </si>
  <si>
    <t>ARCHITECT INSPECTION FEE</t>
  </si>
  <si>
    <t>PROPERTY APPRAISAL FEE</t>
  </si>
  <si>
    <t>LEGAL FEES</t>
  </si>
  <si>
    <t>RECORDING FEES</t>
  </si>
  <si>
    <t>COST CERTIFICATION FEE</t>
  </si>
  <si>
    <t>CONSTRUCTION PERIOD INTEREST</t>
  </si>
  <si>
    <t>CONSTRUCTION LOAN FEES</t>
  </si>
  <si>
    <t>CONSTRUCTION INSURANCE</t>
  </si>
  <si>
    <t>CONSTRUCTION REAL ESTATE TAXES</t>
  </si>
  <si>
    <t>PERMANENT LOAN FEES</t>
  </si>
  <si>
    <t>MARKET STUDY</t>
  </si>
  <si>
    <t>ENVIRONMENTAL STUDY</t>
  </si>
  <si>
    <t>DEVELOPER'S FEE</t>
  </si>
  <si>
    <t>OPERATING RESERVE</t>
  </si>
  <si>
    <t>OTHER COSTS</t>
  </si>
  <si>
    <t>TOTAL INTERMEDIARY COSTS</t>
  </si>
  <si>
    <t xml:space="preserve">Reviewed by: </t>
  </si>
  <si>
    <t xml:space="preserve">Review date: </t>
  </si>
  <si>
    <t>Property file number:</t>
  </si>
  <si>
    <t>ANALYSIS OF INTERMEDIARY COSTS</t>
  </si>
  <si>
    <t>Processing stage:</t>
  </si>
  <si>
    <t>ENGINEERING FEE</t>
  </si>
  <si>
    <t>PROPERTY SURVEY FEE</t>
  </si>
  <si>
    <t>CAPITAL NEEDS ASSESSMENT</t>
  </si>
  <si>
    <t>TITLE INSURANCE FEE</t>
  </si>
  <si>
    <t>STATE FIRE MARSHAL FEE</t>
  </si>
  <si>
    <t>CONSTRUCTION LOAN INTEREST (AFTER PIS DATE)</t>
  </si>
  <si>
    <t>RENT-UP COSTS</t>
  </si>
  <si>
    <t>ORGANIZATIONAL COSTS</t>
  </si>
  <si>
    <t>RENT-UP RESERVE</t>
  </si>
  <si>
    <t>CONSULTANT'S FEE</t>
  </si>
  <si>
    <t>SOFT COST CONTINGENCY</t>
  </si>
  <si>
    <t>PROPERTY NAME:</t>
  </si>
  <si>
    <t>NUMBER</t>
  </si>
  <si>
    <t>PROPERTY</t>
  </si>
  <si>
    <t>EXTENDED</t>
  </si>
  <si>
    <t>PROPERTY COMPOSITION</t>
  </si>
  <si>
    <t>OF UNITS</t>
  </si>
  <si>
    <t>COST LIMITS</t>
  </si>
  <si>
    <t>AMOUNTS</t>
  </si>
  <si>
    <t>EFFICIENCY</t>
  </si>
  <si>
    <t>ONE BEDROOM UNIT</t>
  </si>
  <si>
    <t>TWO BEDROOM UNIT</t>
  </si>
  <si>
    <t>THREE BEDROOM UNIT</t>
  </si>
  <si>
    <t>FOUR BEDROOM UNIT</t>
  </si>
  <si>
    <t>NET PROPERTY COSTS</t>
  </si>
  <si>
    <t>EXCESS  (DEFICIENCY) - PROPERTY COSTS</t>
  </si>
  <si>
    <t>ANALYSIS OF PROPERTY COSTS</t>
  </si>
  <si>
    <t>PERCENTAGE SYNDICATED:</t>
  </si>
  <si>
    <t>TOTAL PROPERTY COSTS:</t>
  </si>
  <si>
    <t>NET PROPERTY COSTS ALLOWED:</t>
  </si>
  <si>
    <t>FINANCING SOURCES:</t>
  </si>
  <si>
    <t>TOTAL FINANCING SOURCES:</t>
  </si>
  <si>
    <t>EQUITY GAP:</t>
  </si>
  <si>
    <t>ANNUAL ELIGIBLE HCDA (ACQUISITION):</t>
  </si>
  <si>
    <t>ANNUAL ELIGIBLE HCDA (REHAB/NEW CONSTRUCTION):</t>
  </si>
  <si>
    <t>TOTAL ANNUAL ELIGIBLE HCDA:</t>
  </si>
  <si>
    <t>TOTAL ANNUAL ELIGIBLE HCDA REQUESTED:</t>
  </si>
  <si>
    <t>ANNUAL HCDA ALLOWED:</t>
  </si>
  <si>
    <t>DETERMINATION OF HOUSING CREDIT DOLLAR AMOUNT NEEDED</t>
  </si>
  <si>
    <t>Source 3</t>
  </si>
  <si>
    <t>Source 4</t>
  </si>
  <si>
    <t>Source 5</t>
  </si>
  <si>
    <t>Source 6</t>
  </si>
  <si>
    <t>Source 7</t>
  </si>
  <si>
    <t>LESS: COMMERCIAL RENTAL COSTS</t>
  </si>
  <si>
    <r>
      <t xml:space="preserve">In completing this form, a Reservation Request or a Carryover Allocation Request may contain estimated and anticipated information.  </t>
    </r>
    <r>
      <rPr>
        <b/>
        <u/>
        <sz val="10"/>
        <rFont val="Calibri"/>
        <family val="2"/>
        <scheme val="minor"/>
      </rPr>
      <t>However</t>
    </r>
    <r>
      <rPr>
        <b/>
        <sz val="10"/>
        <rFont val="Calibri"/>
        <family val="2"/>
        <scheme val="minor"/>
      </rPr>
      <t>, an Allocation Request must contain actual, final information.  Any reference to general partner in this form also includes managing member and member owners for limited liability companies.</t>
    </r>
  </si>
  <si>
    <t>Reservation Request</t>
  </si>
  <si>
    <t>Carryover Allocation Request</t>
  </si>
  <si>
    <t>Prior to Equity Closing</t>
  </si>
  <si>
    <t>Allocation Request</t>
  </si>
  <si>
    <t>Type of Request</t>
  </si>
  <si>
    <t>Type of Request or Processing Stage</t>
  </si>
  <si>
    <t>Property Developer Information</t>
  </si>
  <si>
    <t>Any consultant or consulting entity which will receive 25% or more of the total Developer's Fee is considered by the Fund to be a co-developer and must be listed in the section.  Any other consultant or consulting entity must be listed on page 28.</t>
  </si>
  <si>
    <t>TPC - Column (1)</t>
  </si>
  <si>
    <t>Rental</t>
  </si>
  <si>
    <t>Property Costs</t>
  </si>
  <si>
    <t>Adjusted Basis</t>
  </si>
  <si>
    <t>Qualified Basis (Line 1 times 2)</t>
  </si>
  <si>
    <t>Applicable Percentage</t>
  </si>
  <si>
    <t>Eligible Housing Credit Dollar Amount (Line 1 times Line 2)</t>
  </si>
  <si>
    <t>Remaining Excess Property Costs</t>
  </si>
  <si>
    <t>Excess Builder's General Requirement</t>
  </si>
  <si>
    <t>Excess Builder's General Overhead</t>
  </si>
  <si>
    <t>Excess Builder's Profit</t>
  </si>
  <si>
    <t>Total Adj. Basis</t>
  </si>
  <si>
    <t>Rehab/New %</t>
  </si>
  <si>
    <t>Acq %</t>
  </si>
  <si>
    <t>$25,000 Per Low-Income Unit Test</t>
  </si>
  <si>
    <t>Total Excess:</t>
  </si>
  <si>
    <t>New/Rehab Allocation:</t>
  </si>
  <si>
    <t>Acq Allocation:</t>
  </si>
  <si>
    <t>This margin is not part of the print area of this page and is not meant to be printed. Do not adjust the margins or print area.</t>
  </si>
  <si>
    <t>Acquisition (Column B)</t>
  </si>
  <si>
    <t>New Construction or Substantial Rehabilitation (Column A)</t>
  </si>
  <si>
    <t>Lesser of</t>
  </si>
  <si>
    <t>YES</t>
  </si>
  <si>
    <t>NO</t>
  </si>
  <si>
    <t>Qualified Basis of Rehabilitation Expenditures (Ignoring any adjustment for high cost areas)</t>
  </si>
  <si>
    <t>Rehabilitation Expenditures during the 24-month aggregation period</t>
  </si>
  <si>
    <t>Hard Cost Rehabilitation Residential Rental Adjusted Basis (From VII. 8 (A))</t>
  </si>
  <si>
    <r>
      <t xml:space="preserve">Please provide below a detailed description and the corresponding amounts included in the Property's Adjusted Basis, without regard to depreciation, </t>
    </r>
    <r>
      <rPr>
        <b/>
        <u/>
        <sz val="10"/>
        <rFont val="Calibri"/>
        <family val="2"/>
        <scheme val="minor"/>
      </rPr>
      <t>on the first day of the 24-month aggregation period</t>
    </r>
    <r>
      <rPr>
        <b/>
        <sz val="10"/>
        <rFont val="Calibri"/>
        <family val="2"/>
        <scheme val="minor"/>
      </rPr>
      <t xml:space="preserve"> for rehabilitation expenditures.</t>
    </r>
  </si>
  <si>
    <t>The Property's Adjusted Basis (**), determined without regard to depreciation, on the first day of the 24-month aggregation period - FILL IN TABLE BELOW</t>
  </si>
  <si>
    <t>©</t>
  </si>
  <si>
    <t>Organizational costs are costs that include the legal and accounting costs necessary to organize the Ownership Entity and the costs necessary to facilitate the filings of the necessary legal documents and other regulatory documentation required by federal and state law.</t>
  </si>
  <si>
    <t>Organizational Costs ©</t>
  </si>
  <si>
    <t>Acquisition of Existing Structures</t>
  </si>
  <si>
    <t>soft cost cont</t>
  </si>
  <si>
    <t>hard cost cont</t>
  </si>
  <si>
    <t>7% - NC</t>
  </si>
  <si>
    <t>10% - SR/Ad.R</t>
  </si>
  <si>
    <r>
      <t xml:space="preserve">If any of these costs are expensed in the year incurred or amortized, rather than capitalized and depreciated, these costs should </t>
    </r>
    <r>
      <rPr>
        <b/>
        <u/>
        <sz val="10"/>
        <rFont val="Calibri"/>
        <family val="2"/>
        <scheme val="minor"/>
      </rPr>
      <t>not</t>
    </r>
    <r>
      <rPr>
        <b/>
        <sz val="10"/>
        <rFont val="Calibri"/>
        <family val="2"/>
        <scheme val="minor"/>
      </rPr>
      <t xml:space="preserve"> be included in the property's Adjusted Basis (Columns A and B).</t>
    </r>
  </si>
  <si>
    <r>
      <t>The Applicant must complete the following question for the Form 1040 to correctly calculate the maximum hard cost contingency</t>
    </r>
    <r>
      <rPr>
        <b/>
        <sz val="10"/>
        <rFont val="Calibri"/>
        <family val="2"/>
        <scheme val="minor"/>
      </rPr>
      <t>:</t>
    </r>
  </si>
  <si>
    <r>
      <t>The Applicant must complete the following two questions for the Form 1040 to correctly calculate the Developer's Fee Limit applicable to the property</t>
    </r>
    <r>
      <rPr>
        <b/>
        <sz val="10"/>
        <rFont val="Calibri"/>
        <family val="2"/>
        <scheme val="minor"/>
      </rPr>
      <t>:</t>
    </r>
  </si>
  <si>
    <t>Is this a new construction property?</t>
  </si>
  <si>
    <t>Total Required DDF</t>
  </si>
  <si>
    <t>New Const or Sub Rehab</t>
  </si>
  <si>
    <t>Basis Type</t>
  </si>
  <si>
    <t>% of Units</t>
  </si>
  <si>
    <t>Existing Low-Income Housing Preservation</t>
  </si>
  <si>
    <t>New Supply</t>
  </si>
  <si>
    <t>Existing LI Housing</t>
  </si>
  <si>
    <t>Tier 1</t>
  </si>
  <si>
    <t>Tier 2</t>
  </si>
  <si>
    <t>Tier 3</t>
  </si>
  <si>
    <t>Property's total permanent financing:</t>
  </si>
  <si>
    <t>4)</t>
  </si>
  <si>
    <t>Financing or guarantee financing percentage of total permanent financing:</t>
  </si>
  <si>
    <t>5)</t>
  </si>
  <si>
    <r>
      <t xml:space="preserve">The percentage above equals or exceeds 50% </t>
    </r>
    <r>
      <rPr>
        <b/>
        <u/>
        <sz val="10"/>
        <rFont val="Calibri"/>
        <family val="2"/>
        <scheme val="minor"/>
      </rPr>
      <t>OR</t>
    </r>
    <r>
      <rPr>
        <b/>
        <sz val="10"/>
        <rFont val="Calibri"/>
        <family val="2"/>
        <scheme val="minor"/>
      </rPr>
      <t xml:space="preserve"> the percentage is below 50% but the property is awarded points under the scoring criterion Maturing Mortgage with Expiring Project-Based Rental Assistance:</t>
    </r>
  </si>
  <si>
    <r>
      <t xml:space="preserve">The property has an RD mortgage which will mature in five years or less (measured from the property's Reservation Request due date) and which, if repaid, will result in the loss of RD Rental Assistance for the property </t>
    </r>
    <r>
      <rPr>
        <b/>
        <u/>
        <sz val="10"/>
        <rFont val="Calibri"/>
        <family val="2"/>
        <scheme val="minor"/>
      </rPr>
      <t>OR</t>
    </r>
    <r>
      <rPr>
        <b/>
        <sz val="10"/>
        <rFont val="Calibri"/>
        <family val="2"/>
        <scheme val="minor"/>
      </rPr>
      <t xml:space="preserve"> the property has a HUD mortgage (Section 236 or similar) which will mature in five years or less (measured from the property's Reservation Request due date) and which, if repaid, will result in the loss of Section 8 Project-Based Subsidy:</t>
    </r>
  </si>
  <si>
    <t>Less Deductions For: - FILL IN EACH BLANK, EVEN IF ZERO:</t>
  </si>
  <si>
    <t>Favorable Financing (Points Available: 25)</t>
  </si>
  <si>
    <t>Amount of favorable permanent financing:</t>
  </si>
  <si>
    <t>Favorable permanent financing percentage of total permanent financing:</t>
  </si>
  <si>
    <t>Set-Aside Categories</t>
  </si>
  <si>
    <t>The non-profit entity has been in existence for at least five years:</t>
  </si>
  <si>
    <t>The property includes the use of Existing Housing that is clearly and specifically stated as part of a CRP that has been approved by the appropriate governing body of the local jurisdiction within which such "community" is located:</t>
  </si>
  <si>
    <t>Property-Based Rental Assistance (Maximum Points Available: 25)</t>
  </si>
  <si>
    <t>Permanent Financing (Points Available: 25)</t>
  </si>
  <si>
    <r>
      <t xml:space="preserve">The property does not include co-developers </t>
    </r>
    <r>
      <rPr>
        <b/>
        <u/>
        <sz val="10"/>
        <rFont val="Calibri"/>
        <family val="2"/>
        <scheme val="minor"/>
      </rPr>
      <t>OR</t>
    </r>
    <r>
      <rPr>
        <b/>
        <sz val="10"/>
        <rFont val="Calibri"/>
        <family val="2"/>
        <scheme val="minor"/>
      </rPr>
      <t xml:space="preserve"> (1) the property includes only TWO co-developers; and (2) both co-developers will complete 50% of the work and receive 50% of the compensation; and (3) the development agreement clearly evidences the percentages of work and percentages of compensation:</t>
    </r>
  </si>
  <si>
    <t>General Partner Portfolio Occupancy Rate (Points Available: 25)</t>
  </si>
  <si>
    <t>Pipeline Properties (Points Available: 20)</t>
  </si>
  <si>
    <t>The property was most recently notified by the Fund as not having been selected to receive an allocation of Credits from the prior year's State Housing Credit Ceiling:</t>
  </si>
  <si>
    <r>
      <t xml:space="preserve">[If a. above is TRUE] The property </t>
    </r>
    <r>
      <rPr>
        <b/>
        <u/>
        <sz val="10"/>
        <rFont val="Calibri"/>
        <family val="2"/>
        <scheme val="minor"/>
      </rPr>
      <t>is not</t>
    </r>
    <r>
      <rPr>
        <b/>
        <sz val="10"/>
        <rFont val="Calibri"/>
        <family val="2"/>
        <scheme val="minor"/>
      </rPr>
      <t xml:space="preserve"> Existing Housing </t>
    </r>
    <r>
      <rPr>
        <b/>
        <u/>
        <sz val="10"/>
        <rFont val="Calibri"/>
        <family val="2"/>
        <scheme val="minor"/>
      </rPr>
      <t>OR</t>
    </r>
    <r>
      <rPr>
        <b/>
        <sz val="10"/>
        <rFont val="Calibri"/>
        <family val="2"/>
        <scheme val="minor"/>
      </rPr>
      <t xml:space="preserve"> the property </t>
    </r>
    <r>
      <rPr>
        <b/>
        <u/>
        <sz val="10"/>
        <rFont val="Calibri"/>
        <family val="2"/>
        <scheme val="minor"/>
      </rPr>
      <t>is</t>
    </r>
    <r>
      <rPr>
        <b/>
        <sz val="10"/>
        <rFont val="Calibri"/>
        <family val="2"/>
        <scheme val="minor"/>
      </rPr>
      <t xml:space="preserve"> Existing Housing and the property has not changed from the Request submitted in the prior year:</t>
    </r>
  </si>
  <si>
    <t>[If a., b., c., and d. above are TRUE] The property was not withdrawn from the competition prior to the date of the Selection Decision Letter, nor was the property selected but withdrawn after the date of the Selection Decision Letter, nor was the property rejected for any reason by the Fund:</t>
  </si>
  <si>
    <t>County, in Census Tract</t>
  </si>
  <si>
    <r>
      <t>In order for the Form 1040 to correctly calculate the property's total rental income potential, if the property will receive project-based rental assistance, the Tenant Paid Rent must include the assistance received for those units</t>
    </r>
    <r>
      <rPr>
        <b/>
        <sz val="10"/>
        <rFont val="Calibri"/>
        <family val="2"/>
        <scheme val="minor"/>
      </rPr>
      <t>.</t>
    </r>
  </si>
  <si>
    <t>The High Cost Adjustment percentage the property is requesting:</t>
  </si>
  <si>
    <t>The Fund is being requested herein to designate the buildings in the property as requiring a basis boost in order to be financially feasible as permitted in Subsection 42(d)(5)(B)(v):</t>
  </si>
  <si>
    <t>Applicable Percentage *</t>
  </si>
  <si>
    <t>Occupancy type as defined in the property's market study:</t>
  </si>
  <si>
    <t>County's rank of Family potential un-met housing need:</t>
  </si>
  <si>
    <r>
      <rPr>
        <sz val="10"/>
        <rFont val="Calibri"/>
        <family val="2"/>
        <scheme val="minor"/>
      </rPr>
      <t>Barbour</t>
    </r>
  </si>
  <si>
    <r>
      <rPr>
        <sz val="10"/>
        <rFont val="Calibri"/>
        <family val="2"/>
        <scheme val="minor"/>
      </rPr>
      <t>Berkeley</t>
    </r>
  </si>
  <si>
    <r>
      <rPr>
        <sz val="10"/>
        <rFont val="Calibri"/>
        <family val="2"/>
        <scheme val="minor"/>
      </rPr>
      <t>Boone</t>
    </r>
  </si>
  <si>
    <r>
      <rPr>
        <sz val="10"/>
        <rFont val="Calibri"/>
        <family val="2"/>
        <scheme val="minor"/>
      </rPr>
      <t>Braxton</t>
    </r>
  </si>
  <si>
    <r>
      <rPr>
        <sz val="10"/>
        <rFont val="Calibri"/>
        <family val="2"/>
        <scheme val="minor"/>
      </rPr>
      <t>Brooke</t>
    </r>
  </si>
  <si>
    <r>
      <rPr>
        <sz val="10"/>
        <rFont val="Calibri"/>
        <family val="2"/>
        <scheme val="minor"/>
      </rPr>
      <t>Cabell</t>
    </r>
  </si>
  <si>
    <r>
      <rPr>
        <sz val="10"/>
        <rFont val="Calibri"/>
        <family val="2"/>
        <scheme val="minor"/>
      </rPr>
      <t>Calhoun</t>
    </r>
  </si>
  <si>
    <r>
      <rPr>
        <sz val="10"/>
        <rFont val="Calibri"/>
        <family val="2"/>
        <scheme val="minor"/>
      </rPr>
      <t>Clay</t>
    </r>
  </si>
  <si>
    <r>
      <rPr>
        <sz val="10"/>
        <rFont val="Calibri"/>
        <family val="2"/>
        <scheme val="minor"/>
      </rPr>
      <t>Doddridge</t>
    </r>
  </si>
  <si>
    <r>
      <rPr>
        <sz val="10"/>
        <rFont val="Calibri"/>
        <family val="2"/>
        <scheme val="minor"/>
      </rPr>
      <t>Fayette</t>
    </r>
  </si>
  <si>
    <r>
      <rPr>
        <sz val="10"/>
        <rFont val="Calibri"/>
        <family val="2"/>
        <scheme val="minor"/>
      </rPr>
      <t>Gilmer</t>
    </r>
  </si>
  <si>
    <r>
      <rPr>
        <sz val="10"/>
        <rFont val="Calibri"/>
        <family val="2"/>
        <scheme val="minor"/>
      </rPr>
      <t>Grant</t>
    </r>
  </si>
  <si>
    <r>
      <rPr>
        <sz val="10"/>
        <rFont val="Calibri"/>
        <family val="2"/>
        <scheme val="minor"/>
      </rPr>
      <t>Greenbrier</t>
    </r>
  </si>
  <si>
    <r>
      <rPr>
        <sz val="10"/>
        <rFont val="Calibri"/>
        <family val="2"/>
        <scheme val="minor"/>
      </rPr>
      <t>Hampshire</t>
    </r>
  </si>
  <si>
    <r>
      <rPr>
        <sz val="10"/>
        <rFont val="Calibri"/>
        <family val="2"/>
        <scheme val="minor"/>
      </rPr>
      <t>Hancock</t>
    </r>
  </si>
  <si>
    <r>
      <rPr>
        <sz val="10"/>
        <rFont val="Calibri"/>
        <family val="2"/>
        <scheme val="minor"/>
      </rPr>
      <t>Hardy</t>
    </r>
  </si>
  <si>
    <r>
      <rPr>
        <sz val="10"/>
        <rFont val="Calibri"/>
        <family val="2"/>
        <scheme val="minor"/>
      </rPr>
      <t>Harrison</t>
    </r>
  </si>
  <si>
    <r>
      <rPr>
        <sz val="10"/>
        <rFont val="Calibri"/>
        <family val="2"/>
        <scheme val="minor"/>
      </rPr>
      <t>Jackson</t>
    </r>
  </si>
  <si>
    <r>
      <rPr>
        <sz val="10"/>
        <rFont val="Calibri"/>
        <family val="2"/>
        <scheme val="minor"/>
      </rPr>
      <t>Jefferson</t>
    </r>
  </si>
  <si>
    <r>
      <rPr>
        <sz val="10"/>
        <rFont val="Calibri"/>
        <family val="2"/>
        <scheme val="minor"/>
      </rPr>
      <t>Kanawha</t>
    </r>
  </si>
  <si>
    <r>
      <rPr>
        <sz val="10"/>
        <rFont val="Calibri"/>
        <family val="2"/>
        <scheme val="minor"/>
      </rPr>
      <t>Lewis</t>
    </r>
  </si>
  <si>
    <r>
      <rPr>
        <sz val="10"/>
        <rFont val="Calibri"/>
        <family val="2"/>
        <scheme val="minor"/>
      </rPr>
      <t>Lincoln</t>
    </r>
  </si>
  <si>
    <r>
      <rPr>
        <sz val="10"/>
        <rFont val="Calibri"/>
        <family val="2"/>
        <scheme val="minor"/>
      </rPr>
      <t>Logan</t>
    </r>
  </si>
  <si>
    <r>
      <rPr>
        <sz val="10"/>
        <rFont val="Calibri"/>
        <family val="2"/>
        <scheme val="minor"/>
      </rPr>
      <t>Marion</t>
    </r>
  </si>
  <si>
    <r>
      <rPr>
        <sz val="10"/>
        <rFont val="Calibri"/>
        <family val="2"/>
        <scheme val="minor"/>
      </rPr>
      <t>Marshall</t>
    </r>
  </si>
  <si>
    <r>
      <rPr>
        <sz val="10"/>
        <rFont val="Calibri"/>
        <family val="2"/>
        <scheme val="minor"/>
      </rPr>
      <t>Mason</t>
    </r>
  </si>
  <si>
    <r>
      <rPr>
        <sz val="10"/>
        <rFont val="Calibri"/>
        <family val="2"/>
        <scheme val="minor"/>
      </rPr>
      <t>McDowell</t>
    </r>
  </si>
  <si>
    <r>
      <rPr>
        <sz val="10"/>
        <rFont val="Calibri"/>
        <family val="2"/>
        <scheme val="minor"/>
      </rPr>
      <t>Mercer</t>
    </r>
  </si>
  <si>
    <r>
      <rPr>
        <sz val="10"/>
        <rFont val="Calibri"/>
        <family val="2"/>
        <scheme val="minor"/>
      </rPr>
      <t>Mineral</t>
    </r>
  </si>
  <si>
    <r>
      <rPr>
        <sz val="10"/>
        <rFont val="Calibri"/>
        <family val="2"/>
        <scheme val="minor"/>
      </rPr>
      <t>Mingo</t>
    </r>
  </si>
  <si>
    <r>
      <rPr>
        <sz val="10"/>
        <rFont val="Calibri"/>
        <family val="2"/>
        <scheme val="minor"/>
      </rPr>
      <t>Monongalia</t>
    </r>
  </si>
  <si>
    <r>
      <rPr>
        <sz val="10"/>
        <rFont val="Calibri"/>
        <family val="2"/>
        <scheme val="minor"/>
      </rPr>
      <t>Monroe</t>
    </r>
  </si>
  <si>
    <r>
      <rPr>
        <sz val="10"/>
        <rFont val="Calibri"/>
        <family val="2"/>
        <scheme val="minor"/>
      </rPr>
      <t>Morgan</t>
    </r>
  </si>
  <si>
    <r>
      <rPr>
        <sz val="10"/>
        <rFont val="Calibri"/>
        <family val="2"/>
        <scheme val="minor"/>
      </rPr>
      <t>Nicholas</t>
    </r>
  </si>
  <si>
    <r>
      <rPr>
        <sz val="10"/>
        <rFont val="Calibri"/>
        <family val="2"/>
        <scheme val="minor"/>
      </rPr>
      <t>Ohio</t>
    </r>
  </si>
  <si>
    <r>
      <rPr>
        <sz val="10"/>
        <rFont val="Calibri"/>
        <family val="2"/>
        <scheme val="minor"/>
      </rPr>
      <t>Pendleton</t>
    </r>
  </si>
  <si>
    <r>
      <rPr>
        <sz val="10"/>
        <rFont val="Calibri"/>
        <family val="2"/>
        <scheme val="minor"/>
      </rPr>
      <t>Pleasants</t>
    </r>
  </si>
  <si>
    <r>
      <rPr>
        <sz val="10"/>
        <rFont val="Calibri"/>
        <family val="2"/>
        <scheme val="minor"/>
      </rPr>
      <t>Pocahontas</t>
    </r>
  </si>
  <si>
    <r>
      <rPr>
        <sz val="10"/>
        <rFont val="Calibri"/>
        <family val="2"/>
        <scheme val="minor"/>
      </rPr>
      <t>Preston</t>
    </r>
  </si>
  <si>
    <r>
      <rPr>
        <sz val="10"/>
        <rFont val="Calibri"/>
        <family val="2"/>
        <scheme val="minor"/>
      </rPr>
      <t>Putnam</t>
    </r>
  </si>
  <si>
    <r>
      <rPr>
        <sz val="10"/>
        <rFont val="Calibri"/>
        <family val="2"/>
        <scheme val="minor"/>
      </rPr>
      <t>Raleigh</t>
    </r>
  </si>
  <si>
    <r>
      <rPr>
        <sz val="10"/>
        <rFont val="Calibri"/>
        <family val="2"/>
        <scheme val="minor"/>
      </rPr>
      <t>Randolph</t>
    </r>
  </si>
  <si>
    <r>
      <rPr>
        <sz val="10"/>
        <rFont val="Calibri"/>
        <family val="2"/>
        <scheme val="minor"/>
      </rPr>
      <t>Ritchie</t>
    </r>
  </si>
  <si>
    <r>
      <rPr>
        <sz val="10"/>
        <rFont val="Calibri"/>
        <family val="2"/>
        <scheme val="minor"/>
      </rPr>
      <t>Roane</t>
    </r>
  </si>
  <si>
    <r>
      <rPr>
        <sz val="10"/>
        <rFont val="Calibri"/>
        <family val="2"/>
        <scheme val="minor"/>
      </rPr>
      <t>Summers</t>
    </r>
  </si>
  <si>
    <r>
      <rPr>
        <sz val="10"/>
        <rFont val="Calibri"/>
        <family val="2"/>
        <scheme val="minor"/>
      </rPr>
      <t>Taylor</t>
    </r>
  </si>
  <si>
    <r>
      <rPr>
        <sz val="10"/>
        <rFont val="Calibri"/>
        <family val="2"/>
        <scheme val="minor"/>
      </rPr>
      <t>Tucker</t>
    </r>
  </si>
  <si>
    <r>
      <rPr>
        <sz val="10"/>
        <rFont val="Calibri"/>
        <family val="2"/>
        <scheme val="minor"/>
      </rPr>
      <t>Tyler</t>
    </r>
  </si>
  <si>
    <r>
      <rPr>
        <sz val="10"/>
        <rFont val="Calibri"/>
        <family val="2"/>
        <scheme val="minor"/>
      </rPr>
      <t>Upshur</t>
    </r>
  </si>
  <si>
    <r>
      <rPr>
        <sz val="10"/>
        <rFont val="Calibri"/>
        <family val="2"/>
        <scheme val="minor"/>
      </rPr>
      <t>Wayne</t>
    </r>
  </si>
  <si>
    <r>
      <rPr>
        <sz val="10"/>
        <rFont val="Calibri"/>
        <family val="2"/>
        <scheme val="minor"/>
      </rPr>
      <t>Webster</t>
    </r>
  </si>
  <si>
    <r>
      <rPr>
        <sz val="10"/>
        <rFont val="Calibri"/>
        <family val="2"/>
        <scheme val="minor"/>
      </rPr>
      <t>Wetzel</t>
    </r>
  </si>
  <si>
    <r>
      <rPr>
        <sz val="10"/>
        <rFont val="Calibri"/>
        <family val="2"/>
        <scheme val="minor"/>
      </rPr>
      <t>Wirt</t>
    </r>
  </si>
  <si>
    <r>
      <rPr>
        <sz val="10"/>
        <rFont val="Calibri"/>
        <family val="2"/>
        <scheme val="minor"/>
      </rPr>
      <t>Wood</t>
    </r>
  </si>
  <si>
    <r>
      <rPr>
        <sz val="10"/>
        <rFont val="Calibri"/>
        <family val="2"/>
        <scheme val="minor"/>
      </rPr>
      <t>Wyoming</t>
    </r>
  </si>
  <si>
    <t>FAMILY RANK &amp; SCORE</t>
  </si>
  <si>
    <t>SENIOR RANK &amp; SCORE</t>
  </si>
  <si>
    <t>County's rank of Senior potential un-met housing need:</t>
  </si>
  <si>
    <t>Reminder: Must commit formula using Ctrl + Shift + Enter to set as an array formula</t>
  </si>
  <si>
    <t>avg</t>
  </si>
  <si>
    <t>Buffalo Elementary School (Logan County)</t>
  </si>
  <si>
    <t>Buffalo Elementary School (Putnam County)</t>
  </si>
  <si>
    <t>Buffalo Elementary School (Wayne County)</t>
  </si>
  <si>
    <t>Central Elementary School (Kanawha County)</t>
  </si>
  <si>
    <t>East Fairmont Middle School</t>
  </si>
  <si>
    <t>Edgewood Elementary</t>
  </si>
  <si>
    <t>Fairplain Elementary School (Jackson County)</t>
  </si>
  <si>
    <t>Fairplains Elementary School (Wood County)</t>
  </si>
  <si>
    <t>Fort Gay Pre K-8</t>
  </si>
  <si>
    <t>Franklin Elementary School (Pendleton County)</t>
  </si>
  <si>
    <t>Gauley River Elementary School (Nicholas County)</t>
  </si>
  <si>
    <t>Glade Creek Elementary School (Nicholas County)</t>
  </si>
  <si>
    <t>Glade Elementary School (Webster County)</t>
  </si>
  <si>
    <t>Huntington East Middle School</t>
  </si>
  <si>
    <t>Kanawha City Elementary School (Kanawha County)</t>
  </si>
  <si>
    <t>Kanawha Elementary School (Wood County)</t>
  </si>
  <si>
    <t>Kenna Elementary School (Jackson County)</t>
  </si>
  <si>
    <t>Kenna Elementary School (Kanawha County)</t>
  </si>
  <si>
    <t>Keyser Primary School</t>
  </si>
  <si>
    <t>Liberty High School (Harrison County)</t>
  </si>
  <si>
    <t>Liberty High School (Raleigh County)</t>
  </si>
  <si>
    <t>Lincoln High School (Harrison County)</t>
  </si>
  <si>
    <t>Lincoln Middle School</t>
  </si>
  <si>
    <t>Madison Elementary School (Ohio County)</t>
  </si>
  <si>
    <t>Madison Elementary School (Wood County)</t>
  </si>
  <si>
    <t>Midland Elementary School (Randolph County)</t>
  </si>
  <si>
    <t>Midland Trail Elementary School (Kanawha County)</t>
  </si>
  <si>
    <t>Mountain Ridge Middle School</t>
  </si>
  <si>
    <t>Mountain View Elementary &amp; Middle School (Monroe County)</t>
  </si>
  <si>
    <t>Mountain View Elementary School (Putnam County)</t>
  </si>
  <si>
    <t>Mountaineer Middle School (Harrison County)</t>
  </si>
  <si>
    <t>Mountaineer Middle School (Monongalia County)</t>
  </si>
  <si>
    <t>North Elementary School (Monongalia County)</t>
  </si>
  <si>
    <t>North Elementary School (Randolph County)</t>
  </si>
  <si>
    <t>South Preston School</t>
  </si>
  <si>
    <t>Valley High School (Fayette County)</t>
  </si>
  <si>
    <t>Valley High School (Wetzel County)</t>
  </si>
  <si>
    <t>Grade</t>
  </si>
  <si>
    <r>
      <t xml:space="preserve">The property is located within 1/5th of a mile from a public transportation stop (e.g. bus stop, PRT station, bus route with "hail and ride" stops), </t>
    </r>
    <r>
      <rPr>
        <b/>
        <u/>
        <sz val="10"/>
        <rFont val="Calibri"/>
        <family val="2"/>
        <scheme val="minor"/>
      </rPr>
      <t>OR</t>
    </r>
    <r>
      <rPr>
        <b/>
        <sz val="10"/>
        <rFont val="Calibri"/>
        <family val="2"/>
        <scheme val="minor"/>
      </rPr>
      <t xml:space="preserve"> a public transportation stop will be added within 1/5th of a mile in conjunction with the establishment of the New Supply housing:</t>
    </r>
  </si>
  <si>
    <t>The property will provide a form of transportation from and to the property that is comparable to or exceeding the service levels (e.g. accessibility, capacity, reliability, practicality, etc.) and scope of a typical fixed route public transportation system:</t>
  </si>
  <si>
    <t>Woman or Minority Participation in Property Development (Points Available: 3)</t>
  </si>
  <si>
    <t>Woman or Minority Participation in Property Management (Points Available: 4)</t>
  </si>
  <si>
    <t>Option 1: Tenant Populations with Special Housing Needs</t>
  </si>
  <si>
    <t>Option 2: Tenant Populations of Individuals with Children</t>
  </si>
  <si>
    <t>The property will target for occupancy the following tenant populations with special housing needs for at least 25% of the residential rental units in the property on an on-going basis:</t>
  </si>
  <si>
    <t>The property will target for occupancy the following tenant populations of individuals with children for at least 25% of the residential rental units in the property on an on-going basis:</t>
  </si>
  <si>
    <t>Persons on a Public Housing Waiting List (Points Available: 25)</t>
  </si>
  <si>
    <t>[If 1. above is TRUE] The rehabilitation of such structures will be completed in such a manner to be eligible for federal and State historic tax credits:</t>
  </si>
  <si>
    <t>Preference for Properties Obligated to Serving Qualified Tenants for the Longest Periods of Time (Points Available: 150)</t>
  </si>
  <si>
    <r>
      <t xml:space="preserve">The property is committed to serving qualified low-income tenants for 15 years </t>
    </r>
    <r>
      <rPr>
        <b/>
        <u/>
        <sz val="10"/>
        <rFont val="Calibri"/>
        <family val="2"/>
        <scheme val="minor"/>
      </rPr>
      <t>beyond</t>
    </r>
    <r>
      <rPr>
        <b/>
        <sz val="10"/>
        <rFont val="Calibri"/>
        <family val="2"/>
        <scheme val="minor"/>
      </rPr>
      <t xml:space="preserve"> the close of the initial 15-year Compliance Period:</t>
    </r>
  </si>
  <si>
    <t>{Remainder of page left intentionally blank.}</t>
  </si>
  <si>
    <t>Masonry Veneer Exterior Percentage (Points Available: 15)</t>
  </si>
  <si>
    <t>At least 60% of each building's post-construction exterior (excluding gabled ends, doors, and windows) will be properly anchored Masonry Veneer:</t>
  </si>
  <si>
    <t>In conjunction with the construction or rehabilitation, all exterior doors (including sliding doors, patio doors, etc.) and windows on all buildings in the property will be new and will comply with the applicable climate zone qualification criteria as prescribed in the document Energy Star Program Requirements for Residential Windows, Doors and Skylights - Version 6.0:</t>
  </si>
  <si>
    <t>O _______          .                    A _______          .                     C _______</t>
  </si>
  <si>
    <r>
      <t xml:space="preserve">[If a. above is TRUE] The property does not consist, in whole or in part, of existing structures </t>
    </r>
    <r>
      <rPr>
        <b/>
        <u/>
        <sz val="10"/>
        <rFont val="Calibri"/>
        <family val="2"/>
        <scheme val="minor"/>
      </rPr>
      <t>OR</t>
    </r>
    <r>
      <rPr>
        <b/>
        <sz val="10"/>
        <rFont val="Calibri"/>
        <family val="2"/>
        <scheme val="minor"/>
      </rPr>
      <t xml:space="preserve"> the  property does consist, in whole or in part, of existing structures and, in conjunction with the rehabilitation of those existing structures, the roofing materials (including felts and flashings) will be removed to the existing roof sheathing, AND existing roof sheathing will be inspected and replaced if damaged, AND if it is necessary for any existing roof sheathing to be replaced, roof framing and insulation will be inspected and replaced if damaged:</t>
    </r>
  </si>
  <si>
    <t>Green Building Training for Residential Housing (Points Available: 15)</t>
  </si>
  <si>
    <t>Enter total size of site:</t>
  </si>
  <si>
    <t>Less: Post-construction site with non-green space (include buildings, porches, sidewalks, or parking areas, etc.)</t>
  </si>
  <si>
    <t>Less: Post-construction site with a slope of more than 20%</t>
  </si>
  <si>
    <t>Less: Post-construction site with green space which is not reasonably reachable by the tenants</t>
  </si>
  <si>
    <t>Interior Unit Square Footage (Points Available: 10)</t>
  </si>
  <si>
    <t>Interior Unit Square Footage</t>
  </si>
  <si>
    <t>Interior Unit Square Footage*</t>
  </si>
  <si>
    <t>Paid Rent**</t>
  </si>
  <si>
    <t>In order for the Form 1040 to correctly calculate the property's total rental income potential, if the property will receive project-based rental assistance, the Tenant Paid Rent must include the assistance received for those units.</t>
  </si>
  <si>
    <r>
      <t xml:space="preserve">The Interior Unit Square Footage should </t>
    </r>
    <r>
      <rPr>
        <b/>
        <u/>
        <sz val="10"/>
        <rFont val="Calibri"/>
        <family val="2"/>
        <scheme val="minor"/>
      </rPr>
      <t>NOT</t>
    </r>
    <r>
      <rPr>
        <b/>
        <sz val="10"/>
        <rFont val="Calibri"/>
        <family val="2"/>
        <scheme val="minor"/>
      </rPr>
      <t xml:space="preserve"> be the minimum used for scoring purposes.  A Reservation Request or a Carryover Allocation Request </t>
    </r>
    <r>
      <rPr>
        <b/>
        <u/>
        <sz val="10"/>
        <rFont val="Calibri"/>
        <family val="2"/>
        <scheme val="minor"/>
      </rPr>
      <t>must</t>
    </r>
    <r>
      <rPr>
        <b/>
        <sz val="10"/>
        <rFont val="Calibri"/>
        <family val="2"/>
        <scheme val="minor"/>
      </rPr>
      <t xml:space="preserve"> contain the Applicant's best estimate of each unit's post-construction Interior Unit Square Footage.  The Allocation Request </t>
    </r>
    <r>
      <rPr>
        <b/>
        <u/>
        <sz val="10"/>
        <rFont val="Calibri"/>
        <family val="2"/>
        <scheme val="minor"/>
      </rPr>
      <t>must</t>
    </r>
    <r>
      <rPr>
        <b/>
        <sz val="10"/>
        <rFont val="Calibri"/>
        <family val="2"/>
        <scheme val="minor"/>
      </rPr>
      <t xml:space="preserve"> contain the actual, final post-construction Interior Unit Square Footage of each unit.</t>
    </r>
  </si>
  <si>
    <t>Residential Rental Units - Revenue Producing</t>
  </si>
  <si>
    <t>Adaptive Re-Use</t>
  </si>
  <si>
    <t>Rehab of Existing</t>
  </si>
  <si>
    <t>Unit Detail</t>
  </si>
  <si>
    <t>EXISTING</t>
  </si>
  <si>
    <t>NEW</t>
  </si>
  <si>
    <t>Unit Detail Simplified</t>
  </si>
  <si>
    <t>Other Residential Units - Non-Revenue Producing (Manager/Maintenance/Security)</t>
  </si>
  <si>
    <t>Applicable Min SF</t>
  </si>
  <si>
    <t>Applicable Max SF</t>
  </si>
  <si>
    <t>min</t>
  </si>
  <si>
    <t>max</t>
  </si>
  <si>
    <t>Response</t>
  </si>
  <si>
    <r>
      <t xml:space="preserve">The property will not contain newly constructed three or four bedroom units </t>
    </r>
    <r>
      <rPr>
        <b/>
        <u/>
        <sz val="10"/>
        <rFont val="Calibri"/>
        <family val="2"/>
        <scheme val="minor"/>
      </rPr>
      <t>OR</t>
    </r>
    <r>
      <rPr>
        <b/>
        <sz val="10"/>
        <rFont val="Calibri"/>
        <family val="2"/>
        <scheme val="minor"/>
      </rPr>
      <t xml:space="preserve"> each newly constructed three or four bedroom unit will have two full bathrooms:</t>
    </r>
  </si>
  <si>
    <t>isblank</t>
  </si>
  <si>
    <t>References to General Partner also reference managing member and member owners of a limited liability company Owner.</t>
  </si>
  <si>
    <t>&gt; the full thickness of exterior walls enclosing a unit;</t>
  </si>
  <si>
    <t>&gt; the full thickness of walls between a unit and adjacent common areas;</t>
  </si>
  <si>
    <t>References to Partnership Agreement also reference operating agreement of a limited liability company Owner.</t>
  </si>
  <si>
    <t>Definition</t>
  </si>
  <si>
    <t>Allocation Certification</t>
  </si>
  <si>
    <t>Applicant or Ownership Entity or Owner</t>
  </si>
  <si>
    <t>the Chief Executive Officer of the Local Jurisdiction</t>
  </si>
  <si>
    <t>the Code</t>
  </si>
  <si>
    <t>Concerted Community Revitalization Plan or CRP</t>
  </si>
  <si>
    <t>Compliance Period (also referred to as the initial 15-year Compliance Period)</t>
  </si>
  <si>
    <t>Credit Period</t>
  </si>
  <si>
    <t>Credit(s)</t>
  </si>
  <si>
    <t>Existing Low-Income Housing</t>
  </si>
  <si>
    <t>Extended Use Period</t>
  </si>
  <si>
    <t>the Fund</t>
  </si>
  <si>
    <t>HOME Program</t>
  </si>
  <si>
    <t>HUD</t>
  </si>
  <si>
    <t>IRS</t>
  </si>
  <si>
    <t>LIHTCP</t>
  </si>
  <si>
    <t>the Manual</t>
  </si>
  <si>
    <t>Masonry Veneer</t>
  </si>
  <si>
    <t>Ownership Entity or Owner or Applicant</t>
  </si>
  <si>
    <t>Partnership Agreement</t>
  </si>
  <si>
    <t>the Plan</t>
  </si>
  <si>
    <t>Principal</t>
  </si>
  <si>
    <t>Program Calendar</t>
  </si>
  <si>
    <t>Property Architect</t>
  </si>
  <si>
    <t>Property Contractor</t>
  </si>
  <si>
    <t>Reachable Green Space</t>
  </si>
  <si>
    <t>RD</t>
  </si>
  <si>
    <t>Scattered Site Property</t>
  </si>
  <si>
    <t>Selection Decision Letter</t>
  </si>
  <si>
    <t>State Housing Credit Ceiling</t>
  </si>
  <si>
    <t>Tax-Exempt Bond Financed Property</t>
  </si>
  <si>
    <t>IRS Form 8609</t>
  </si>
  <si>
    <t>the Credit applicant which will own the LIHTCP property (e.g. ABC Apartments Limited Partnership is the Ownership Entity of ABC Apartments)</t>
  </si>
  <si>
    <t>normally the mayor if the property is located within the boundaries of a municipality or the President of the County Commission if it is not</t>
  </si>
  <si>
    <t>the Internal Revenue Code of 1986, as amended</t>
  </si>
  <si>
    <t>the period of 15 taxable years beginning with the 1st taxable year of the Credit Period</t>
  </si>
  <si>
    <t>the period of 10 taxable years beginning with (1) the taxable year in which a building is placed in service, or (2) at the election of the Owner, the succeeding taxable year</t>
  </si>
  <si>
    <t>Low-Income Housing Tax Credit(s)</t>
  </si>
  <si>
    <t>a property which is comprised solely of currently inhabited residential rental units, whether low-income (tenants with annual incomes at or below 80 percent of the area median gross income) or market rate</t>
  </si>
  <si>
    <t>a property which is comprised of currently inhabited low-income residential rental units</t>
  </si>
  <si>
    <t>the period beginning on the first day in the Compliance Period and ending on the later of (1) the date set forth in the Regulatory and Restrictive Covenants for Land Use Agreement (WVHDF LIHTCP-7 or LIHTCP-8), or (2) the date which is 15 years after the close of the Compliance Period</t>
  </si>
  <si>
    <t>the West Virginia Housing Development Fund</t>
  </si>
  <si>
    <t>general partner of a limited partnership Owner</t>
  </si>
  <si>
    <t>HOME Investment Partnerships Program</t>
  </si>
  <si>
    <t>U.S. Department of Housing and Urban Development</t>
  </si>
  <si>
    <t>the unit gross area including</t>
  </si>
  <si>
    <t>Internal Revenue Service</t>
  </si>
  <si>
    <t>consists of the installation of topsoil, soil treatments (fertilizer), seed, sod, straw (if seeding is used), shrubs, trees, mulch, and flower beds</t>
  </si>
  <si>
    <t>Low-Income Housing Tax Credit Program</t>
  </si>
  <si>
    <t>the current Tax Credit Manual</t>
  </si>
  <si>
    <t>brick, split-faced concrete masonry units with a minimum thickness of 3-5/8”, stone, or another Fund-approved masonry building product, but does not include faux brick veneer</t>
  </si>
  <si>
    <t>a property which will directly result in a direct increase of the stock of low-income residential rental units</t>
  </si>
  <si>
    <t>agreement of limited partnership of a limited partnership Owner</t>
  </si>
  <si>
    <t>the current Allocation Plan</t>
  </si>
  <si>
    <t>any nongovernmental agency or entity that currently has (1) an effective ruling letter from the IRS, granting tax exemption under Subsections 501(c), (d), or (e) of the Code, or (2) satisfactory evidence from the applicable state that the organization or entity is organized under its state of organization and qualified to do business in the applicable state as a non-profit organization</t>
  </si>
  <si>
    <t>Exhibit G to the Manual which contains various deadlines related to the State’s LIHTCP</t>
  </si>
  <si>
    <t>the architect of record whose seal is stamped on the property plans and specifications</t>
  </si>
  <si>
    <t>the person who holds the contractor’s license or the contractor’s authorized representative who is responsible for oversight of the construction or rehabilitation of the property</t>
  </si>
  <si>
    <t>the initial complete application stage for any property applying for Credits, preceded only by pre-registration</t>
  </si>
  <si>
    <t>United States Department of Agriculture Office of Rural Development</t>
  </si>
  <si>
    <t>a property which includes non-contiguous parcels which (post-construction) will contain residential rental units</t>
  </si>
  <si>
    <t>letter sent from the Fund notifying an Applicant (1) the property has been selected to receive Credits or (2) the property has not been selected to receive Credits, but may choose to be wait-listed</t>
  </si>
  <si>
    <t>State of West Virginia</t>
  </si>
  <si>
    <t>the aggregate housing credit dollar amount which the Fund may allocate in a given year</t>
  </si>
  <si>
    <t>a property which does not require a Credit allocation from the State Housing Credit Ceiling due to 50 percent or more of the property’s aggregate basis being financed by tax-exempt bonds which are subject to the State’s bond volume cap.</t>
  </si>
  <si>
    <t>Landscaping</t>
  </si>
  <si>
    <t>Set-Aside Categories (Maximum Points Available: 50 for New Supply or 30 for Existing Low-Income Housing)</t>
  </si>
  <si>
    <t>Existing Housing in Most Need of and Most Suitable for Rehabilitation (Maximum Points Available: 0 for New Supply or 100 for Existing Low-Income Housing)</t>
  </si>
  <si>
    <t>The property includes Existing Low-Income Housing, and was ranked by the Fund as follows:</t>
  </si>
  <si>
    <r>
      <t xml:space="preserve">Amount of RD or HUD financing </t>
    </r>
    <r>
      <rPr>
        <b/>
        <u/>
        <sz val="10"/>
        <rFont val="Calibri"/>
        <family val="2"/>
        <scheme val="minor"/>
      </rPr>
      <t>OR</t>
    </r>
    <r>
      <rPr>
        <b/>
        <sz val="10"/>
        <rFont val="Calibri"/>
        <family val="2"/>
        <scheme val="minor"/>
      </rPr>
      <t xml:space="preserve"> financing guaranteed by RD or HUD:</t>
    </r>
  </si>
  <si>
    <t>Existing Replacement Reserves</t>
  </si>
  <si>
    <t>Maturing Mortgage with Expiring Project-Based Rental Assistance (Points Available: 0 for New Supply or 10 for Existing Low-Income Housing)</t>
  </si>
  <si>
    <r>
      <t>The percentage above equals or exceeds 50%</t>
    </r>
    <r>
      <rPr>
        <b/>
        <sz val="10"/>
        <rFont val="Calibri"/>
        <family val="2"/>
        <scheme val="minor"/>
      </rPr>
      <t>:</t>
    </r>
  </si>
  <si>
    <t>Existing Housing as Part of a Concerted Community Revitalization Plan (Points Available: 0 for New Supply or 15 for Existing Low-Income Housing)</t>
  </si>
  <si>
    <r>
      <t xml:space="preserve">[If a. and b. above are TRUE] The property </t>
    </r>
    <r>
      <rPr>
        <b/>
        <u/>
        <sz val="10"/>
        <rFont val="Calibri"/>
        <family val="2"/>
        <scheme val="minor"/>
      </rPr>
      <t>is</t>
    </r>
    <r>
      <rPr>
        <b/>
        <sz val="10"/>
        <rFont val="Calibri"/>
        <family val="2"/>
        <scheme val="minor"/>
      </rPr>
      <t xml:space="preserve"> Existing Housing </t>
    </r>
    <r>
      <rPr>
        <b/>
        <u/>
        <sz val="10"/>
        <rFont val="Calibri"/>
        <family val="2"/>
        <scheme val="minor"/>
      </rPr>
      <t>OR</t>
    </r>
    <r>
      <rPr>
        <b/>
        <sz val="10"/>
        <rFont val="Calibri"/>
        <family val="2"/>
        <scheme val="minor"/>
      </rPr>
      <t xml:space="preserve"> the property </t>
    </r>
    <r>
      <rPr>
        <b/>
        <u/>
        <sz val="10"/>
        <rFont val="Calibri"/>
        <family val="2"/>
        <scheme val="minor"/>
      </rPr>
      <t>is not</t>
    </r>
    <r>
      <rPr>
        <b/>
        <sz val="10"/>
        <rFont val="Calibri"/>
        <family val="2"/>
        <scheme val="minor"/>
      </rPr>
      <t xml:space="preserve"> Existing Housing and (1) the property site has not changed, (2) the unit size (Interior Unit Square Footage) has not decreased, and (3) the unit composition (number of units for each bedroom size) has not changed from the Request submitted in the prior year:</t>
    </r>
  </si>
  <si>
    <t>[If a., b., and c. above are TRUE] There is continuity in the General Partner of the Ownership Entity from the Request submitted in the prior year:</t>
  </si>
  <si>
    <t>Percentage of Households whose Gross Rent as a Percentage of Household Income is 30% or Greater (Maximum Points Available: 20 for New Supply or 10 for Existing Low-Income Housing)</t>
  </si>
  <si>
    <t>Rental Vacancy Rate (Maximum Points Available: 20 for New Supply or 10 for Existing Low-Income Housing)</t>
  </si>
  <si>
    <t>Un-Met Housing Need (Maximum Points Available: 20 for New Supply or 10 for Existing Low-Income Housing)</t>
  </si>
  <si>
    <t>High-Opportunity Location (Maximum Points Available: 90 for New Supply or 45 for Existing Low-Income Housing)</t>
  </si>
  <si>
    <t>General Housing Stability - Owner-Occupied Units as a Percentage of Total Occupied Housing Units (Maximum Points Available: 10 for New Supply or 5 for Existing Low-Income Housing)</t>
  </si>
  <si>
    <t>General Housing Stability - Percentage of Households whose Occupants per Room are 1.01 or More (Maximum Points Available: 10 for New Supply or 5 for Existing Low-Income Housing)</t>
  </si>
  <si>
    <t>Poverty/Public Assistance - Population Below the Poverty Level as a Percentage of the Total Population (Maximum Points Available: 10 for New Supply or 5 for Existing Low-Income Housing)</t>
  </si>
  <si>
    <t>Labor Market Engagement - Unemployment Rate of the Total Population 20 to 64 Years of Age (Maximum Points Available: 10 for New Supply or 5 for Existing Low-Income Housing)</t>
  </si>
  <si>
    <t>Labor Market Engagement - Population 25 Years of Age and Older with an Educational Attainment of a Bachelor's Degree or Higher as a Percentage of the Total Population 25 Years of Age and Older (Maximum Points Available: 10 for New Supply or 5 for Existing Low-Income Housing)</t>
  </si>
  <si>
    <t>Proximity to Public Transportation (Points Available: 10 for New Supply or 5 for Existing Low-Income Housing)</t>
  </si>
  <si>
    <t>Historic Nature of Property (Points Available: 20)</t>
  </si>
  <si>
    <t>Long-Term Lease</t>
  </si>
  <si>
    <t>a land lease of no less than 30 years, in which (1) the lessor agrees to be a party to the Regulatory and Restrictive Covenants for Land Use Agreement (the “Restrictive Covenants”), (2) the lease terms provide that the Restrictive Covenants survive termination of the lease, and (3) the lease terms contain any other provisions required by the Fund.</t>
  </si>
  <si>
    <t>Detail</t>
  </si>
  <si>
    <t>UNIT DETAIL</t>
  </si>
  <si>
    <t>Rehab of Existing Low-Income Housing</t>
  </si>
  <si>
    <t>Rehab of Existing Housing</t>
  </si>
  <si>
    <t>Number of Existing Low-Income Housing units provided by the property:</t>
  </si>
  <si>
    <t>ad.r</t>
  </si>
  <si>
    <t>existing li</t>
  </si>
  <si>
    <t>existing housing</t>
  </si>
  <si>
    <t>all existing</t>
  </si>
  <si>
    <t>Land Bank</t>
  </si>
  <si>
    <t>NEW CONSTRUCTION UNITS</t>
  </si>
  <si>
    <t>REHAB UNITS</t>
  </si>
  <si>
    <t>ADAPTIVE REUSE UNITS</t>
  </si>
  <si>
    <t>ACQUISITION CREDIT BEING REQUESTED</t>
  </si>
  <si>
    <t>Rehabilitation &amp; Acquisition</t>
  </si>
  <si>
    <t>New Construction &amp; Rehabilitation</t>
  </si>
  <si>
    <t>New Construction &amp; Adaptive Re-Use</t>
  </si>
  <si>
    <t>Rehabilitation &amp; Adaptive Re-Use</t>
  </si>
  <si>
    <t>Adaptive Re-Use &amp; Acquisition</t>
  </si>
  <si>
    <t>New Construction &amp; Rehab &amp; Acq</t>
  </si>
  <si>
    <t>New Construction &amp; Rehab &amp; Adaptive Re-Use</t>
  </si>
  <si>
    <t>New Construction &amp; Adaptive Re-Use &amp; Acq</t>
  </si>
  <si>
    <t>Rehab &amp; Adaptive Re-Use &amp; Acq</t>
  </si>
  <si>
    <t>New Construction &amp; Rehab &amp; Adaptive Re-Use &amp; Acq</t>
  </si>
  <si>
    <t>Mix - &gt;50</t>
  </si>
  <si>
    <t>MixwAcq - &gt;50</t>
  </si>
  <si>
    <t>Mix - =&lt;50</t>
  </si>
  <si>
    <t>MixwAcq - =&lt;50</t>
  </si>
  <si>
    <t>[If a. above is FALSE] In conjunction with the construction or rehabilitation, each residential rental unit will provide a laundry closet containing a washer and dryer hookup, without any additional charge to the tenant, and tenants will be allowed to install a washer and dryer in the laundry closet:</t>
  </si>
  <si>
    <t>[If a. above is FALSE] For properties which do not involve new construction, 100% of each existing structure's pre-construction exterior is Masonry Veneer:</t>
  </si>
  <si>
    <t>Rural Housing Service (RHS)/USDA Rural Development (RD)</t>
  </si>
  <si>
    <t>US Department of Housing and Urban Development (HUD)</t>
  </si>
  <si>
    <t>Local Public Housing Authority (PHA) utility allowance established for the Section 8 Existing Housing Program</t>
  </si>
  <si>
    <t>Local Utility Company Estimate</t>
  </si>
  <si>
    <t>Energy Consumption Model</t>
  </si>
  <si>
    <t>Regulation Reference</t>
  </si>
  <si>
    <t>(b)(3)</t>
  </si>
  <si>
    <t>PHA:</t>
  </si>
  <si>
    <t>(b)(4)(ii)(E)</t>
  </si>
  <si>
    <t>(b)(4)(ii)(D)</t>
  </si>
  <si>
    <t>Cash Flow (Before Deferred Developer Fee Payment) per Residential Rental Unit</t>
  </si>
  <si>
    <t>Distribution of Cash Flow</t>
  </si>
  <si>
    <t>First, to pay</t>
  </si>
  <si>
    <t>Second, to pay</t>
  </si>
  <si>
    <t>Third, to pay</t>
  </si>
  <si>
    <t>Fourth, to pay</t>
  </si>
  <si>
    <t>Fifth, to pay</t>
  </si>
  <si>
    <t>Sixth, to pay</t>
  </si>
  <si>
    <t>Seventh, to pay</t>
  </si>
  <si>
    <t>Brief Description</t>
  </si>
  <si>
    <t>Annual Increase, if applicable</t>
  </si>
  <si>
    <t>Set Annual Amount, if applicable</t>
  </si>
  <si>
    <t xml:space="preserve">OR explain increase*  </t>
  </si>
  <si>
    <t>Less:  Deferred Developer Fee Payment, regardless of priority position in distribution of cash flow</t>
  </si>
  <si>
    <t>Year 16</t>
  </si>
  <si>
    <t>Year 17</t>
  </si>
  <si>
    <t>Year 18</t>
  </si>
  <si>
    <t>Year 19</t>
  </si>
  <si>
    <t>Year 20</t>
  </si>
  <si>
    <t>Year 21</t>
  </si>
  <si>
    <t>Year 22</t>
  </si>
  <si>
    <t>Year 23</t>
  </si>
  <si>
    <t>Year 24</t>
  </si>
  <si>
    <t>Year 25</t>
  </si>
  <si>
    <t>Year 26</t>
  </si>
  <si>
    <t>Year 27</t>
  </si>
  <si>
    <t>Year 28</t>
  </si>
  <si>
    <t>Year 29</t>
  </si>
  <si>
    <t>Year 30</t>
  </si>
  <si>
    <t>CF Before DDF Pmt per Residential Rental Unit</t>
  </si>
  <si>
    <t>Cumulative Cash Flow Before DDF Payment</t>
  </si>
  <si>
    <t>Cumulative Cash Flow After DDF Payment</t>
  </si>
  <si>
    <t>CF After DDF Pmt per Residential Rental Unit</t>
  </si>
  <si>
    <t>Cash Flow</t>
  </si>
  <si>
    <t>Co-Developer 1 Name</t>
  </si>
  <si>
    <t>Co-Developer 2 Name</t>
  </si>
  <si>
    <t>Co-Developer 3 Name</t>
  </si>
  <si>
    <t>Co-Developer 4 Name</t>
  </si>
  <si>
    <t>Primary Developer Entity</t>
  </si>
  <si>
    <t>Property Developer Information (List the primary developer entity on page 1)</t>
  </si>
  <si>
    <t>Property Location and Housing Needs Characteristics</t>
  </si>
  <si>
    <t>Tenant Populations Targeted for Occupancy</t>
  </si>
  <si>
    <t>Energy Efficiency and Quality of Housing</t>
  </si>
  <si>
    <t>Existing Housing in Most Need of and Most Suitable for Rehabilitation</t>
  </si>
  <si>
    <t>Type of Financing</t>
  </si>
  <si>
    <t>RD or HUD Financing or Guarantee</t>
  </si>
  <si>
    <t>Maturing Mortgage with Expiring Project-Based Rental Assistance</t>
  </si>
  <si>
    <t>Favorable Financing</t>
  </si>
  <si>
    <t>Existing Housing as Part of a Concerted Community Revitalization Plan</t>
  </si>
  <si>
    <t>Property-Based Rental Assistance</t>
  </si>
  <si>
    <t>Developer Experience in the LIHTCP</t>
  </si>
  <si>
    <t>LIHTCP Unit Production as a Percentage of the Renter-Occupied Housing Units</t>
  </si>
  <si>
    <t>Median Household Income</t>
  </si>
  <si>
    <t>Rental Vacancy Rate</t>
  </si>
  <si>
    <t>Un-Met Housing Need</t>
  </si>
  <si>
    <t>High-Opportunity Location</t>
  </si>
  <si>
    <t>General Housing Stability - Owner-Occupied Units as a Percentage of Total Occupied Housing Units</t>
  </si>
  <si>
    <t>General Housing Stability - Percentage of Households whose Occupants per Room are 1.01 or More</t>
  </si>
  <si>
    <t>Poverty/Public Assistance - Population Below the Poverty Level as a Percentage of the Total Population</t>
  </si>
  <si>
    <t>Labor Market Engagement - Unemployment Rate of the Total Population 20 to 64 Years of Age</t>
  </si>
  <si>
    <t>Labor Market Engagement - Population 25 Years of Age and Older with an Educational Attainment of a Bachelor's Degree or Higher as a Percentage of the Total Population 25 Years of Age and Older</t>
  </si>
  <si>
    <t>Proximity to Public Transportation</t>
  </si>
  <si>
    <t>Masonry Veneer Exterior Percentage</t>
  </si>
  <si>
    <t>Green Building Training for Residential Housing</t>
  </si>
  <si>
    <t>Reachable Green Space Percentage</t>
  </si>
  <si>
    <t>school score total</t>
  </si>
  <si>
    <t>Transfer of physical assets is required from HUD:</t>
  </si>
  <si>
    <r>
      <t xml:space="preserve">The property </t>
    </r>
    <r>
      <rPr>
        <b/>
        <u/>
        <sz val="10"/>
        <rFont val="Calibri"/>
        <family val="2"/>
        <scheme val="minor"/>
      </rPr>
      <t>has</t>
    </r>
    <r>
      <rPr>
        <b/>
        <sz val="10"/>
        <rFont val="Calibri"/>
        <family val="2"/>
        <scheme val="minor"/>
      </rPr>
      <t xml:space="preserve"> been occupied as residential rental housing at any time during the year preceding the date of the site control document referenced in item XXIII.A.1. above:</t>
    </r>
  </si>
  <si>
    <t>Has the property been occupied as residential rental housing at any time during the year preceding the date of the site control document referenced on page 24, item XXIII.A.1.?</t>
  </si>
  <si>
    <t>Both Single Family and Multi-Family Residential Rental</t>
  </si>
  <si>
    <t>Both Family &amp; Elderly</t>
  </si>
  <si>
    <r>
      <t>Phone</t>
    </r>
    <r>
      <rPr>
        <b/>
        <sz val="8"/>
        <rFont val="Calibri"/>
        <family val="2"/>
        <scheme val="minor"/>
      </rPr>
      <t xml:space="preserve"> (Enter 10-digit number)</t>
    </r>
  </si>
  <si>
    <t>Entity is a:</t>
  </si>
  <si>
    <t>a CHDO</t>
  </si>
  <si>
    <t>a PHA</t>
  </si>
  <si>
    <t>Neither</t>
  </si>
  <si>
    <r>
      <t>Phone</t>
    </r>
    <r>
      <rPr>
        <b/>
        <sz val="9"/>
        <rFont val="Calibri"/>
        <family val="2"/>
        <scheme val="minor"/>
      </rPr>
      <t xml:space="preserve"> (Enter 10-digit number)</t>
    </r>
  </si>
  <si>
    <r>
      <rPr>
        <b/>
        <u/>
        <sz val="10"/>
        <rFont val="Calibri"/>
        <family val="2"/>
        <scheme val="minor"/>
      </rPr>
      <t>See Information below</t>
    </r>
    <r>
      <rPr>
        <b/>
        <sz val="10"/>
        <rFont val="Calibri"/>
        <family val="2"/>
        <scheme val="minor"/>
      </rPr>
      <t>:</t>
    </r>
  </si>
  <si>
    <t>Entity contains(*):</t>
  </si>
  <si>
    <t>&gt;</t>
  </si>
  <si>
    <t>HTF funds will be used for rehabilitation of existing PH units in which the PH assistance will be converted and used at the properties under the Rental Assistance Demonstration (RAD) program under HUD's 2012 Appropriations Act or subsequent statutes: (see notes below)</t>
  </si>
  <si>
    <t>Notes</t>
  </si>
  <si>
    <r>
      <t xml:space="preserve">The PH units constructed or rehabilitated </t>
    </r>
    <r>
      <rPr>
        <b/>
        <u/>
        <sz val="10"/>
        <rFont val="Calibri"/>
        <family val="2"/>
        <scheme val="minor"/>
      </rPr>
      <t>must</t>
    </r>
    <r>
      <rPr>
        <b/>
        <sz val="10"/>
        <rFont val="Calibri"/>
        <family val="2"/>
        <scheme val="minor"/>
      </rPr>
      <t xml:space="preserve"> receive Public Housing Operating Fund assistance (and may receive PH Capital Fund assistance) under section 9 of the United States Housing Act of 1937; </t>
    </r>
    <r>
      <rPr>
        <b/>
        <u/>
        <sz val="10"/>
        <rFont val="Calibri"/>
        <family val="2"/>
        <scheme val="minor"/>
      </rPr>
      <t>and</t>
    </r>
    <r>
      <rPr>
        <b/>
        <sz val="10"/>
        <rFont val="Calibri"/>
        <family val="2"/>
        <scheme val="minor"/>
      </rPr>
      <t xml:space="preserve"> these units cannot receive HTF Operating Cost Assistance.</t>
    </r>
  </si>
  <si>
    <r>
      <t xml:space="preserve">If the Ownership Entity contains a Public Housing Authority (PHA), </t>
    </r>
    <r>
      <rPr>
        <b/>
        <u/>
        <sz val="10"/>
        <rFont val="Calibri"/>
        <family val="2"/>
        <scheme val="minor"/>
      </rPr>
      <t>and</t>
    </r>
    <r>
      <rPr>
        <b/>
        <sz val="10"/>
        <rFont val="Calibri"/>
        <family val="2"/>
        <scheme val="minor"/>
      </rPr>
      <t xml:space="preserve"> the property is requesting HTF funds with this application, one of the following </t>
    </r>
    <r>
      <rPr>
        <b/>
        <u/>
        <sz val="10"/>
        <rFont val="Calibri"/>
        <family val="2"/>
        <scheme val="minor"/>
      </rPr>
      <t>must</t>
    </r>
    <r>
      <rPr>
        <b/>
        <sz val="10"/>
        <rFont val="Calibri"/>
        <family val="2"/>
        <scheme val="minor"/>
      </rPr>
      <t xml:space="preserve"> be true:</t>
    </r>
  </si>
  <si>
    <r>
      <t xml:space="preserve">*** ONLY USE PAGE 1a IF THIS IS AN </t>
    </r>
    <r>
      <rPr>
        <b/>
        <u/>
        <sz val="14"/>
        <color rgb="FFFF0000"/>
        <rFont val="Calibri"/>
        <family val="2"/>
        <scheme val="minor"/>
      </rPr>
      <t>ALLOCATION REQUEST</t>
    </r>
    <r>
      <rPr>
        <b/>
        <sz val="14"/>
        <color rgb="FFFF0000"/>
        <rFont val="Calibri"/>
        <family val="2"/>
        <scheme val="minor"/>
      </rPr>
      <t xml:space="preserve"> ***</t>
    </r>
  </si>
  <si>
    <t>*** ONLY USE PAGE 1b IF THE PROPERTY HAS CO-DEVELOPERS ***</t>
  </si>
  <si>
    <t>Property Developer Information (List co-developers on page 1b)</t>
  </si>
  <si>
    <t>Provide the following information for all entities who will directly own (not through a sub-entity) any portion of the Ownership Entity**:</t>
  </si>
  <si>
    <t>** Sub-entities down to the individual level must be included in the required attachment entitled "PROPERTY OWNERSHIP CHART"</t>
  </si>
  <si>
    <t>If the property includes existing structures which will remain part of the completed property, year built:</t>
  </si>
  <si>
    <t>Property Site Information, and Planned Amenities, Facilities, Equipment and Services</t>
  </si>
  <si>
    <t>Property Site Information</t>
  </si>
  <si>
    <t>A Habitability Code Standard exists for the local jurisdiction in which the property is located:</t>
  </si>
  <si>
    <t>Engineer</t>
  </si>
  <si>
    <t>Property Owner</t>
  </si>
  <si>
    <t>Primary Developer</t>
  </si>
  <si>
    <t>WBE</t>
  </si>
  <si>
    <t>MBE</t>
  </si>
  <si>
    <t>Both MBE and WBE</t>
  </si>
  <si>
    <t>Fee Charged to Tenant for Service</t>
  </si>
  <si>
    <t>Name of Entity Providing Service</t>
  </si>
  <si>
    <t>If C. above is Other, describe:</t>
  </si>
  <si>
    <t>If any of the answers above (d through j) are FALSE, or the percentage under item g is less than 51%, the property is not eligible to apply to the Qualified Non-Profit Set-Aside Category.</t>
  </si>
  <si>
    <t>[If 1. above is FALSE] Provide the details of any inequalities and state any differences in the features and quality between the low-income residential rental units and the market rate residential rental units:</t>
  </si>
  <si>
    <t>[If 3. above is FALSE] All Federal grants must be excluded from the eligible basis of each building as a deduction from the adjusted basis of each building.</t>
  </si>
  <si>
    <t>If 2. above is FALSE that indicates that the property involves non-contiguous parcels which contain or will contain residential rental units.</t>
  </si>
  <si>
    <t>[If 2. above is FALSE, and 3. and 4. above are TRUE] 100% of the units will be (are) rent-restricted and occupied by tenants with qualifying incomes:</t>
  </si>
  <si>
    <t>[If 2. above is FALSE] All sites are located within the same municipality (city or town) OR all sites are not located within any municipality, but all sites are located in the same county:</t>
  </si>
  <si>
    <t>[If A. above is FALSE] Provide county name:</t>
  </si>
  <si>
    <t>Stove Top Fire Suppression or Prevention (Points Available: 10)</t>
  </si>
  <si>
    <t>Landscaping Cost Per Unit (Points Available: 10)</t>
  </si>
  <si>
    <t>High-Speed Internet Access (Points Available: 10)</t>
  </si>
  <si>
    <t>REHAB</t>
  </si>
  <si>
    <t>AD.R.</t>
  </si>
  <si>
    <t>REHAB &amp; AD.R.</t>
  </si>
  <si>
    <t>NEW &amp; AD.R.</t>
  </si>
  <si>
    <t>LIHTCP Self-Scoring Tally Sheet (From Section XXII.)</t>
  </si>
  <si>
    <t>[If 1. above is TRUE] Complete the following table:</t>
  </si>
  <si>
    <t>Less Deductions For:</t>
  </si>
  <si>
    <t>FILL IN EACH BLANK BELOW, EVEN IF ZERO</t>
  </si>
  <si>
    <t>HTF</t>
  </si>
  <si>
    <t>HUD HTF</t>
  </si>
  <si>
    <t>HUD High</t>
  </si>
  <si>
    <t>HUD Low</t>
  </si>
  <si>
    <t>Type of Unit</t>
  </si>
  <si>
    <t>Low HOME &amp; LIHTC</t>
  </si>
  <si>
    <t>High HOME &amp; LIHTC</t>
  </si>
  <si>
    <t>Electric</t>
  </si>
  <si>
    <t>Municipal</t>
  </si>
  <si>
    <t>PSD</t>
  </si>
  <si>
    <t>Private</t>
  </si>
  <si>
    <t>Yes</t>
  </si>
  <si>
    <t>There will be</t>
  </si>
  <si>
    <t>HTF Units in this property</t>
  </si>
  <si>
    <t>No</t>
  </si>
  <si>
    <t xml:space="preserve">         Debt Service</t>
  </si>
  <si>
    <t>Annual % Increase</t>
  </si>
  <si>
    <t>[If 1. above is TRUE] Complete the following:</t>
  </si>
  <si>
    <t>For properties requesting HTF Funds:</t>
  </si>
  <si>
    <t>The property has a negative cash flow in any years (1-30):</t>
  </si>
  <si>
    <t>The number of HTF-designated units which have property-based subsidy attached to the units:</t>
  </si>
  <si>
    <t>The number of HTF-designated units which do not have property-based subsidy attached to the unit:</t>
  </si>
  <si>
    <t>is responsible for all amounts, calculations and other information relating to the determination of each unit's (building's) costs;</t>
  </si>
  <si>
    <t>If any of these costs are expensed in the year incurred or amortized, rather than capitalized and depreciated, these costs should not be included in the property's Adjusted Basis (Columns A and B).</t>
  </si>
  <si>
    <t>Builder's General Overhead</t>
  </si>
  <si>
    <t>Builder's Profit</t>
  </si>
  <si>
    <t>Developer's Fee</t>
  </si>
  <si>
    <t>Builder's General Requirement (limited in the Manual)</t>
  </si>
  <si>
    <t>Builder's General Overhead (limited in the Manual)</t>
  </si>
  <si>
    <t>Builder's Profit (limited in the Manual)</t>
  </si>
  <si>
    <t>Hard Cost Contingency (limited in the Manual)</t>
  </si>
  <si>
    <t>Developer's Fee (limited in the Manual)</t>
  </si>
  <si>
    <t>Consultant's Fee (limited in the Manual)</t>
  </si>
  <si>
    <t>Amount of Property Costs paid by the following sources:</t>
  </si>
  <si>
    <t>Consultant's Fee</t>
  </si>
  <si>
    <t>Organizational Costs</t>
  </si>
  <si>
    <t>Type **</t>
  </si>
  <si>
    <t>Sources of Funds - Permanent Financing</t>
  </si>
  <si>
    <t>Debt Service Calculation Assist:</t>
  </si>
  <si>
    <t>Source 8</t>
  </si>
  <si>
    <t>Source 9</t>
  </si>
  <si>
    <t>Sources 8 &amp; 9</t>
  </si>
  <si>
    <t>Sources 10 &amp; 11</t>
  </si>
  <si>
    <t>Source 12</t>
  </si>
  <si>
    <t>DDF</t>
  </si>
  <si>
    <t>Sources 14-17</t>
  </si>
  <si>
    <t>Stand-Alone Accessory Buildings</t>
  </si>
  <si>
    <t>Property Cost Allocation Among Sources of Funds</t>
  </si>
  <si>
    <t>Source Amt --&gt;</t>
  </si>
  <si>
    <t>Builder's General Requ.</t>
  </si>
  <si>
    <t xml:space="preserve">Construction RE Taxes </t>
  </si>
  <si>
    <t>CNA Fee</t>
  </si>
  <si>
    <t>n/a</t>
  </si>
  <si>
    <t>Source 10</t>
  </si>
  <si>
    <r>
      <t xml:space="preserve">Property Involves Existing </t>
    </r>
    <r>
      <rPr>
        <b/>
        <u/>
        <sz val="9"/>
        <rFont val="Calibri"/>
        <family val="2"/>
        <scheme val="minor"/>
      </rPr>
      <t>and</t>
    </r>
    <r>
      <rPr>
        <b/>
        <sz val="9"/>
        <rFont val="Calibri"/>
        <family val="2"/>
        <scheme val="minor"/>
      </rPr>
      <t xml:space="preserve"> New?</t>
    </r>
  </si>
  <si>
    <t>Calculation of Initial Fee Due with Reservation Request</t>
  </si>
  <si>
    <t>Tax Credit Processing Fee</t>
  </si>
  <si>
    <t>Total of Initial Fee Percentage and Final Fee Percentage</t>
  </si>
  <si>
    <t>Tax Credit Processing Fee Calculation</t>
  </si>
  <si>
    <t>Estimate of Total Tax Credit Processing Fee</t>
  </si>
  <si>
    <t xml:space="preserve">Initial Fee Due with Reservation Request (Greater of Line 3. or Line 4.) </t>
  </si>
  <si>
    <t>Total HCDA Requested - From page 7</t>
  </si>
  <si>
    <r>
      <t xml:space="preserve">HCDA </t>
    </r>
    <r>
      <rPr>
        <b/>
        <u/>
        <sz val="10"/>
        <rFont val="Calibri"/>
        <family val="2"/>
        <scheme val="minor"/>
      </rPr>
      <t>Requested</t>
    </r>
    <r>
      <rPr>
        <b/>
        <sz val="10"/>
        <rFont val="Calibri"/>
        <family val="2"/>
        <scheme val="minor"/>
      </rPr>
      <t xml:space="preserve"> from all Reservation Requests</t>
    </r>
  </si>
  <si>
    <r>
      <t xml:space="preserve">Total HCDA </t>
    </r>
    <r>
      <rPr>
        <b/>
        <u/>
        <sz val="10"/>
        <rFont val="Calibri"/>
        <family val="2"/>
        <scheme val="minor"/>
      </rPr>
      <t>Allocated</t>
    </r>
    <r>
      <rPr>
        <b/>
        <sz val="10"/>
        <rFont val="Calibri"/>
        <family val="2"/>
        <scheme val="minor"/>
      </rPr>
      <t xml:space="preserve"> to the Property</t>
    </r>
  </si>
  <si>
    <t>For Allocation Requests: Calculation of Total Tax Credit Processing Fees Earned by the Fund</t>
  </si>
  <si>
    <t>Adjustment Line - TO BE USED BY FUND AUTHORIZATION ONLY</t>
  </si>
  <si>
    <t>HCDA Being Requested by this Reservation Request - From page 7</t>
  </si>
  <si>
    <t>Late Submission Fee Earned (If Applicable)</t>
  </si>
  <si>
    <t>Administrative Waiver Fee Earned (If Applicable)</t>
  </si>
  <si>
    <t>Market Study Resubmission Fee Earned (If Applicable)</t>
  </si>
  <si>
    <t>Date of Meeting the "10% Carryover Test"</t>
  </si>
  <si>
    <t>Date of Meeting the Carryover Allocation Requirements (Latest of Line B., Line C., and Line D.)</t>
  </si>
  <si>
    <t>Total Interior Square Footage of all Residential Units for All Buildings (from page 22):</t>
  </si>
  <si>
    <r>
      <t xml:space="preserve">Total Square Footage of all </t>
    </r>
    <r>
      <rPr>
        <b/>
        <u/>
        <sz val="10"/>
        <rFont val="Calibri"/>
        <family val="2"/>
        <scheme val="minor"/>
      </rPr>
      <t>remaining</t>
    </r>
    <r>
      <rPr>
        <b/>
        <sz val="10"/>
        <rFont val="Calibri"/>
        <family val="2"/>
        <scheme val="minor"/>
      </rPr>
      <t xml:space="preserve"> Residential (non-commercial) Space for All Buildings (Common Areas and Common Facilities, including Buildings without Residential Rental Units from E.2. above):</t>
    </r>
  </si>
  <si>
    <r>
      <t xml:space="preserve">Total Square Footage of </t>
    </r>
    <r>
      <rPr>
        <b/>
        <u/>
        <sz val="10"/>
        <rFont val="Calibri"/>
        <family val="2"/>
        <scheme val="minor"/>
      </rPr>
      <t>Commercial</t>
    </r>
    <r>
      <rPr>
        <b/>
        <sz val="10"/>
        <rFont val="Calibri"/>
        <family val="2"/>
        <scheme val="minor"/>
      </rPr>
      <t xml:space="preserve"> Space for All Buildings:</t>
    </r>
  </si>
  <si>
    <t>Total Square Footage of All Buildings</t>
  </si>
  <si>
    <t>Land Cost</t>
  </si>
  <si>
    <t>Acreage</t>
  </si>
  <si>
    <t>Maximum HC Contingency that can be included in Col. 1:</t>
  </si>
  <si>
    <t>Maximum HC Contingency that can be included in Col A:</t>
  </si>
  <si>
    <t>Maximum SC Contingency that can be included in Col. 1:</t>
  </si>
  <si>
    <t>Maximum SC Contingency that can be included in Col A:</t>
  </si>
  <si>
    <t>Maximum SC Contingency that can be included in Col B:</t>
  </si>
  <si>
    <t>5% - All</t>
  </si>
  <si>
    <t>Soft Cost Contingency (limited in the Manual)</t>
  </si>
  <si>
    <t>Total Acquisition Price</t>
  </si>
  <si>
    <t>Bond Premium</t>
  </si>
  <si>
    <t>Hard Costs w/out Off Site Land Improvements + Demo</t>
  </si>
  <si>
    <t>Hard Costs w/out Bond Premium or Building Permit Fee + Demo</t>
  </si>
  <si>
    <t>Hard Costs + Demo</t>
  </si>
  <si>
    <t>Architect &amp; Engineering as a Percentage of Hard Costs + Demo</t>
  </si>
  <si>
    <t>Percentage of Hard Costs + Demo</t>
  </si>
  <si>
    <t>Rehab of Existing Structures</t>
  </si>
  <si>
    <t>Soft Costs w/out Soft Cost Contingency</t>
  </si>
  <si>
    <t>Total Interior Square Footage of All Residential Units</t>
  </si>
  <si>
    <t>Per Interior Square Footage of All Residential Units</t>
  </si>
  <si>
    <t>Cumulative (15-Years) Additions to Replacement Reserves</t>
  </si>
  <si>
    <t xml:space="preserve">         Annual Asset Management Fee</t>
  </si>
  <si>
    <t>Total Property Costs</t>
  </si>
  <si>
    <t>is responsible for all responses and information furnished in this application and understands that any improper or incorrect response or information could result in a reduction or an elimination of the Multi-Family Loan funds requested;</t>
  </si>
  <si>
    <t>understands that no property will be considered if there are outstanding and/or unresolved issues of noncompliance after the end of the correction period as regulated by the Fund's Asset Management Department.</t>
  </si>
  <si>
    <t>LIHTCP Equity as a Percentage of Total Sources of Funds</t>
  </si>
  <si>
    <t>All Equity as a Percentage of Total Sources of Funds</t>
  </si>
  <si>
    <t>Cumulative (15-Years) Annual Asset Management Fee</t>
  </si>
  <si>
    <t>Real Estates Taxes per Unit</t>
  </si>
  <si>
    <t>Property &amp; Liability Insurance per Unit</t>
  </si>
  <si>
    <t>Management Fee per Unit</t>
  </si>
  <si>
    <t>Syndication Costs (**) Description</t>
  </si>
  <si>
    <t>Syndication Costs as a Percentage of Gross Syndication Proceeds</t>
  </si>
  <si>
    <t>Syndication costs represent those costs incurred by the syndicator in connection with obtaining investors for a property.  They are paid for out of the gross syndication proceeds raised from the investors.  See the Allocation Policies, Syndication Costs, Net Syndication Proceeds, and Fund Syndication-Related Requirements section of the Manual for additional information regarding Syndication Costs, as well as the limitations applicable to such costs as a percentage of gross syndication proceeds.</t>
  </si>
  <si>
    <t xml:space="preserve">            Other (e.g. Annual RD 538 Fee)</t>
  </si>
  <si>
    <t>Total Administrative</t>
  </si>
  <si>
    <r>
      <t xml:space="preserve">Number of LIHTCP properties the developer or </t>
    </r>
    <r>
      <rPr>
        <b/>
        <u/>
        <sz val="10"/>
        <rFont val="Calibri"/>
        <family val="2"/>
        <scheme val="minor"/>
      </rPr>
      <t>any</t>
    </r>
    <r>
      <rPr>
        <b/>
        <sz val="10"/>
        <rFont val="Calibri"/>
        <family val="2"/>
        <scheme val="minor"/>
      </rPr>
      <t xml:space="preserve"> co-developer (not on a combined basis) has participated in, regardless of the state in which such properties are located, that have been placed in service and received the final Allocation Certifications for all the buildings and credit types associated with each such property from the applicable housing credit agency:</t>
    </r>
  </si>
  <si>
    <r>
      <t xml:space="preserve">[If 1. above is TRUE] The property is comprised of single-family homes, duplexes or townhouses (with proper legal separation of units), </t>
    </r>
    <r>
      <rPr>
        <b/>
        <u/>
        <sz val="10"/>
        <rFont val="Calibri"/>
        <family val="2"/>
        <scheme val="minor"/>
      </rPr>
      <t>AND</t>
    </r>
    <r>
      <rPr>
        <b/>
        <sz val="10"/>
        <rFont val="Calibri"/>
        <family val="2"/>
        <scheme val="minor"/>
      </rPr>
      <t xml:space="preserve"> the Applicant has a business plan describing how the residential rental units will be converted to tenant ownership:</t>
    </r>
  </si>
  <si>
    <t>[If 1. and 2. above are TRUE] The Applicant is pursuing historic tax credit equity:</t>
  </si>
  <si>
    <t>* If the Ownership Entity contains a CHDO or a PHA, see important information on page 1h.</t>
  </si>
  <si>
    <t>Ownership Entity (Applicant)</t>
  </si>
  <si>
    <t>Site Control is in the name of the Ownership Entity in the form of a (an)</t>
  </si>
  <si>
    <t>Section 469 - One or more persons, of the Ownership Entity of this property, have been allowed benefit under the special transition rule of Section 469 relating to the passive losses and low-income housing under Section 502 of the Tax Reform Act:</t>
  </si>
  <si>
    <r>
      <t xml:space="preserve">The Applicant has entered into a written commitment (LIHTCP-6 or LIHTCP-6B) with the applicable public housing authority ("PHA") to utilize the PHA's waiting list and to target the persons appearing on the PHA's waiting list to occupy the vacant low-income units in the property on an on-going basis, provided that such persons are qualified low-income tenants </t>
    </r>
    <r>
      <rPr>
        <b/>
        <u/>
        <sz val="10"/>
        <rFont val="Calibri"/>
        <family val="2"/>
        <scheme val="minor"/>
      </rPr>
      <t>OR</t>
    </r>
    <r>
      <rPr>
        <b/>
        <sz val="10"/>
        <rFont val="Calibri"/>
        <family val="2"/>
        <scheme val="minor"/>
      </rPr>
      <t xml:space="preserve"> the applicable PHA has refused, in writing, to enter into either form of written agreement:</t>
    </r>
  </si>
  <si>
    <t>The Owner has obtained a waiver from the Secretary of the Treasury as provided for in Subsection 42(d)(6).</t>
  </si>
  <si>
    <t>Date the buildings in the property will be (were) acquired by the Owner:</t>
  </si>
  <si>
    <t>The existing buildings in the property were acquired with the Owner's basis determined under Subsection 1014(a), relating to property acquired from a decedent.</t>
  </si>
  <si>
    <t>One or more of the existing buildings have been previously placed in service by the Owner or by any related person to the Owner as of the time previously placed in service:</t>
  </si>
  <si>
    <t>The Owner irrevocably elects one of the Minimum Set-Aside Requirements:</t>
  </si>
  <si>
    <t>There is an identity of interest with the Owner and/or developer:</t>
  </si>
  <si>
    <t>Identity of interest means any direct or indirect relationship or interest existing between the entity (and any underlying Principal(s)) and the Owner and/or developer (and any underlying Principal(s)).</t>
  </si>
  <si>
    <t>understands that the Fund's obligation to monitor for compliance with the requirements of Section 42 of the Code does not make the Fund liable for an Owner's noncompliance, does not provide any warranty of compliance, and does not relieve an owner of its responsibility for compliance;</t>
  </si>
  <si>
    <t>understands that the Fund will charge Owners a Compliance Monitoring Fee, and hereby agrees and consents to pay such Fee upon written notification by the Fund;</t>
  </si>
  <si>
    <t>Ownership Entity</t>
  </si>
  <si>
    <t>Authorized Representative's Signature</t>
  </si>
  <si>
    <t>understands that the Fund will charge the Owner a Compliance Monitoring Fee, and hereby agrees and consents to pay such Fee upon written notification by the Fund;</t>
  </si>
  <si>
    <t>The undersigned representative of the Owner, being duly authorized, hereby represents and certifies that the information set forth in this application, or in any revisions submitted thereto, and in any attachments, in support thereof, is true, correct, accurate and complete to the best of his/her knowledge and belief.  The undersigned authorized representative of the Owner also certifies that all application forms (e.g. Form 1040, Schedules A to Form 1040, Schedule B to Form 1040, etc.) have not been changed (other than the completion of the appropriate blanks) from the original form, format, and content provided by the Fund.</t>
  </si>
  <si>
    <t>agrees that the Fund will not be held responsible or liable for any representations made to the Owner or its investors relating to the Fund's Multi-Family Loan Program;</t>
  </si>
  <si>
    <t>assumes all damages, losses, costs, and expenses directly or indirectly resulting from, arising out of, or relating to information concerning acceptance in, consideration for approval or disapproval for participation in the Fund's Multi-Family Loan Program, and, accordingly, agrees to indemnify and hold harmless the Fund against any and all claims, suits, losses, damages, costs, and expenses of any kind and of any nature that the Fund, the Owner or its investors may suffer, incur, or pay;</t>
  </si>
  <si>
    <r>
      <t xml:space="preserve">IN WITNESS WHEREOF, the Owner has caused this document to be duly executed in its name on this </t>
    </r>
    <r>
      <rPr>
        <b/>
        <u/>
        <sz val="10"/>
        <rFont val="Calibri"/>
        <family val="2"/>
        <scheme val="minor"/>
      </rPr>
      <t xml:space="preserve">                             </t>
    </r>
    <r>
      <rPr>
        <b/>
        <sz val="10"/>
        <rFont val="Calibri"/>
        <family val="2"/>
        <scheme val="minor"/>
      </rPr>
      <t xml:space="preserve"> day of</t>
    </r>
  </si>
  <si>
    <t>Notification of the Chief Executive Officer of the Local Jurisdiction ("CEO")</t>
  </si>
  <si>
    <t>A written notification (in the form and content prescribed by the Fund) has been sent to the CEO within which the buildings in the property are or will be located:</t>
  </si>
  <si>
    <t>The non-profit entity is exempt under Subsection 501(a) of the Code:</t>
  </si>
  <si>
    <t>is responsible for ensuring that the property consists or will consist of qualified low-income buildings as defined in Section 42 of the Code and for ensuring that the property is in continuous compliance with all requirements imposed under Section 42 of the Code;</t>
  </si>
  <si>
    <r>
      <t xml:space="preserve">The property is located in a Qualified Census Tract </t>
    </r>
    <r>
      <rPr>
        <b/>
        <u/>
        <sz val="10"/>
        <rFont val="Calibri"/>
        <family val="2"/>
        <scheme val="minor"/>
      </rPr>
      <t>AND</t>
    </r>
    <r>
      <rPr>
        <b/>
        <sz val="10"/>
        <rFont val="Calibri"/>
        <family val="2"/>
        <scheme val="minor"/>
      </rPr>
      <t xml:space="preserve"> the development of the property is a clearly and specifically stated part of a CRP that has been approved by the appropriate governing body of the local jurisdiction within which such "community" is located:</t>
    </r>
  </si>
  <si>
    <t>The non-profit entity will materially participate (as defined in the passive loss rules, Code Subsection 469(h)) in the development and operation of the property throughout the Compliance Period on a regular, continuous and substantial basis:</t>
  </si>
  <si>
    <t>[If D. above is TRUE] Date which is the end of the initial 15-year Compliance Period:</t>
  </si>
  <si>
    <r>
      <t xml:space="preserve">HTF funds will be used for (1) new construction of public housing (PH) as part of the Choice Neighborhoods (Choice) program under a HUD appropriation act, </t>
    </r>
    <r>
      <rPr>
        <b/>
        <u/>
        <sz val="10"/>
        <rFont val="Calibri"/>
        <family val="2"/>
        <scheme val="minor"/>
      </rPr>
      <t>or</t>
    </r>
    <r>
      <rPr>
        <b/>
        <sz val="10"/>
        <rFont val="Calibri"/>
        <family val="2"/>
        <scheme val="minor"/>
      </rPr>
      <t xml:space="preserve"> (2) the rehabilitation of existing PH under the Choice program, </t>
    </r>
    <r>
      <rPr>
        <b/>
        <u/>
        <sz val="10"/>
        <rFont val="Calibri"/>
        <family val="2"/>
        <scheme val="minor"/>
      </rPr>
      <t>or</t>
    </r>
    <r>
      <rPr>
        <b/>
        <sz val="10"/>
        <rFont val="Calibri"/>
        <family val="2"/>
        <scheme val="minor"/>
      </rPr>
      <t xml:space="preserve"> (3) the new construction of PH units or rehabilitation of existing PH units that are with this application requesting Credits: (see notes below)</t>
    </r>
  </si>
  <si>
    <t>See the Allocation Policies, Property Cost Limits section of the Manual with regards to the guidelines applicable to Property Cost Limits.</t>
  </si>
  <si>
    <t>One or more of the existing buildings have previously received an allocation of Credits:</t>
  </si>
  <si>
    <t>[If D. above is TRUE] Most recent date the property seller started claiming Credit for the buildings in the property:</t>
  </si>
  <si>
    <t>[If D. above is TRUE] Date the property seller stopped claiming Credit for the buildings in the property:</t>
  </si>
  <si>
    <t>If the answer above is FALSE, this property and its buildings are not eligible to receive a reservation or allocation of Credits.</t>
  </si>
  <si>
    <t>agrees that the Fund will not be held responsible or liable for any representations made to the Owner or its investors relating to the Fund's LIHTCP;</t>
  </si>
  <si>
    <t>assumes all damages, losses, costs, and expenses directly or indirectly resulting from, arising out of, or relating to information concerning acceptance in, consideration for approval or disapproval for participation in the Fund's LIHTCP, and, accordingly, agrees to indemnify and hold harmless the Fund against any and all claims, suits, losses, damages, costs, and expenses of any kind and of any nature that the Fund, the Owner or its investors may suffer, incur, or pay;</t>
  </si>
  <si>
    <t>understands that compliance with the requirements of Section 42 of the Code is the sole responsibility of the Owner of each building for which Credit has been allocated;</t>
  </si>
  <si>
    <t>understands that the LIHTCP regulations and all program materials for the Fund's LIHTCP are subject to change; and</t>
  </si>
  <si>
    <t>TAX CREDIT PROCESSING FEE</t>
  </si>
  <si>
    <t>All residential rental units in this property are committed to eventual tenant ownership, beginning no later than four years after the end of the initial 15-year Compliance Period and completed no later than the end of such property's Extended Use Period:</t>
  </si>
  <si>
    <t>If necessary, contact the Fund for the appropriate Applicable Percentage to be used.</t>
  </si>
  <si>
    <t>This is a calculation of the housing credit dollar amounts for which the property is eligible to receive.  The actual housing credit dollar amounts the property may receive as a reservation or an allocation will be determined by the Fund.</t>
  </si>
  <si>
    <t>Contact the Fund for the appropriate dates to be used in 1., 2., and 3. above.</t>
  </si>
  <si>
    <t>The taxpayer is willing and able to enter (The taxpayer has entered) into an Extended Low-Income Housing Commitment (LIHTCP-7 or LIHTCP-8), as is defined in Subsection 42(h)(6) of the Code, with the Fund for all buildings in the property:</t>
  </si>
  <si>
    <t>understands and agrees that the Fund has the right to have a construction professional of the Fund visit the property to verify any and all Quality of Housing commitments and to be present at any construction inspections (with prior notice to the Owner) to the extent the Fund deems appropriate;</t>
  </si>
  <si>
    <t>certifies that all of the property's funding sources and uses of funds are correctly and completely disclosed in this application and if they change, will immediately notify the Fund;</t>
  </si>
  <si>
    <t>General Partner Equity</t>
  </si>
  <si>
    <r>
      <t xml:space="preserve">The non-profit entity owns an interest in the property (directly or through a partnership (as a General Partner; owning </t>
    </r>
    <r>
      <rPr>
        <b/>
        <u/>
        <sz val="10"/>
        <rFont val="Calibri"/>
        <family val="2"/>
        <scheme val="minor"/>
      </rPr>
      <t>NOT LESS THAN</t>
    </r>
    <r>
      <rPr>
        <b/>
        <sz val="10"/>
        <rFont val="Calibri"/>
        <family val="2"/>
        <scheme val="minor"/>
      </rPr>
      <t xml:space="preserve"> 51% of the General Partner interest)):</t>
    </r>
  </si>
  <si>
    <t>[If g. above is TRUE] Percentage of the General Partner interest the participating non-profit owns:</t>
  </si>
  <si>
    <t>"Permanent" is the Financing Type for sources of funds which are regular amortizing debt or are considered "soft" (do not amortize regularly but will be completely paid), such as Deferred Developer Fees.  "Grant" is the Financing Type for sources of funds which will be forgiven and not repaid.  "Equity" is the Financing Type for sources of funds which are net proceeds from Tax Credit Equity (including Historic Tax Credits and General Partner contributions).</t>
  </si>
  <si>
    <r>
      <t xml:space="preserve">*** ONLY USE PAGE 1h IF THE OWNERSHIP ENTITY CONTAINS A CHDO OR A PHA </t>
    </r>
    <r>
      <rPr>
        <b/>
        <u/>
        <sz val="14"/>
        <color rgb="FF00B050"/>
        <rFont val="Calibri"/>
        <family val="2"/>
        <scheme val="minor"/>
      </rPr>
      <t>AND</t>
    </r>
    <r>
      <rPr>
        <b/>
        <sz val="14"/>
        <color rgb="FF00B050"/>
        <rFont val="Calibri"/>
        <family val="2"/>
        <scheme val="minor"/>
      </rPr>
      <t xml:space="preserve"> THE PROPERTY IS REQUESTING HOME PROGRAM OR HTF FUNDS ***</t>
    </r>
  </si>
  <si>
    <r>
      <t xml:space="preserve">If the Ownership Entity contains a Community Housing Development Organization (CHDO), </t>
    </r>
    <r>
      <rPr>
        <b/>
        <u/>
        <sz val="10"/>
        <rFont val="Calibri"/>
        <family val="2"/>
        <scheme val="minor"/>
      </rPr>
      <t>and</t>
    </r>
    <r>
      <rPr>
        <b/>
        <sz val="10"/>
        <rFont val="Calibri"/>
        <family val="2"/>
        <scheme val="minor"/>
      </rPr>
      <t xml:space="preserve"> the property is requesting HOME Program funds with this application, the following must be completed and submitted with the application: (1) a CHDO certification/recertification and (2) a CHDO Proceeds Report.  </t>
    </r>
  </si>
  <si>
    <t>Fund Multi-Family Loan *</t>
  </si>
  <si>
    <t>Fund HTF Loan - Amortizing *</t>
  </si>
  <si>
    <t>Fund HTF Loan - Deferred *</t>
  </si>
  <si>
    <t>Fund HOME Program Loan - Amortizing *</t>
  </si>
  <si>
    <t>Fund HOME Program Loan - Deferred *</t>
  </si>
  <si>
    <t>If there are HTF-designated units which do not have property-based subsidy attached to the unit, the property may be eligible to receive HTF Operating Cost Assistance, which will be determined by Fund staff in final underwriting.</t>
  </si>
  <si>
    <t>Fund Multi-Family</t>
  </si>
  <si>
    <t>Fund HTF</t>
  </si>
  <si>
    <t>Fund HOME</t>
  </si>
  <si>
    <t>HOME Program Units in this property</t>
  </si>
  <si>
    <t>agrees that the Fund will not be held responsible or liable for any representations made to the Owner or its investors relating to the Fund's HOME Program and/or HTF Program;</t>
  </si>
  <si>
    <t>*** ONLY USE THIS PAGE IF THE APPLICANT IS REQUESTING HOME PROGRAM OR HTF FUNDS ***</t>
  </si>
  <si>
    <t>National Housing Trust Fund</t>
  </si>
  <si>
    <t>is responsible for all responses and information furnished in this application and understands that any improper or incorrect response or information could result in a reduction or an elimination of the HOME Program and/or HTF funds requested;</t>
  </si>
  <si>
    <t>assumes all damages, losses, costs, and expenses directly or indirectly resulting from, arising out of, or relating to information concerning acceptance in, consideration for approval or disapproval for participation in the Fund's HOME Program and/or HTF Program, and, accordingly, agrees to indemnify and hold harmless the Fund against any and all claims, suits, losses, damages, costs, and expenses of any kind and of any nature that the Fund, the Owner or its investors may suffer, incur, or pay;</t>
  </si>
  <si>
    <r>
      <t xml:space="preserve">If the statement above is TRUE, the labor costs included in the property costs must take into account Davis-Bacon wage rates.   </t>
    </r>
    <r>
      <rPr>
        <b/>
        <i/>
        <u/>
        <sz val="10"/>
        <rFont val="Calibri"/>
        <family val="2"/>
        <scheme val="minor"/>
      </rPr>
      <t>However</t>
    </r>
    <r>
      <rPr>
        <b/>
        <i/>
        <sz val="10"/>
        <rFont val="Calibri"/>
        <family val="2"/>
        <scheme val="minor"/>
      </rPr>
      <t>, the requirement to pay Davis-Bacon wage rates is not so unique as to cause a property to exceed the Property Cost Limits as contained in the Manual.</t>
    </r>
  </si>
  <si>
    <t>In conjunction with the construction or rehabilitation, each residential rental unit will have all cooking surfaces equipped with fire suppression or prevention features, as specified in the Plan:</t>
  </si>
  <si>
    <t>understands that any allocations of Credit received pursuant to this application are specifically conditioned upon the Owner complying with, and consenting and permitting the Fund to implement the provisions and requirements of the Compliance Monitoring Procedure contained in the Plan and in any future Allocation Plan;</t>
  </si>
  <si>
    <r>
      <rPr>
        <b/>
        <u/>
        <sz val="10"/>
        <rFont val="Calibri"/>
        <family val="2"/>
        <scheme val="minor"/>
      </rPr>
      <t>One</t>
    </r>
    <r>
      <rPr>
        <b/>
        <sz val="10"/>
        <rFont val="Calibri"/>
        <family val="2"/>
        <scheme val="minor"/>
      </rPr>
      <t xml:space="preserve"> of the Principals of </t>
    </r>
    <r>
      <rPr>
        <b/>
        <u/>
        <sz val="10"/>
        <rFont val="Calibri"/>
        <family val="2"/>
        <scheme val="minor"/>
      </rPr>
      <t>each developer/co-developer</t>
    </r>
    <r>
      <rPr>
        <b/>
        <sz val="10"/>
        <rFont val="Calibri"/>
        <family val="2"/>
        <scheme val="minor"/>
      </rPr>
      <t xml:space="preserve"> of the property attended </t>
    </r>
    <r>
      <rPr>
        <b/>
        <u/>
        <sz val="10"/>
        <rFont val="Calibri"/>
        <family val="2"/>
        <scheme val="minor"/>
      </rPr>
      <t>all</t>
    </r>
    <r>
      <rPr>
        <b/>
        <sz val="10"/>
        <rFont val="Calibri"/>
        <family val="2"/>
        <scheme val="minor"/>
      </rPr>
      <t xml:space="preserve"> sessions of the most recent Fund LIHTCP Application Workshop:</t>
    </r>
  </si>
  <si>
    <t>Identity of interest means any direct or indirect relationship or interest existing between the buyer (and any underlying Principal(s)) and the seller (and any underlying Principal(s)).</t>
  </si>
  <si>
    <t>The Fund reserves the right to accept or reject any proposal. The Applicant shall not discriminate on the basis of race, religion, color, national origin, sex, disability or familial status in the sale or lease or other use or disposition of the property or related facilities covered by funding provided by the Fund. Discrimination against any employee or applicant for employment on the basis of race, religion, color, national origin, sex, disability or age (40 and over) will not be permitted by a contractor or subcontractor engaged to perform any work on any property financed by the Fund.</t>
  </si>
  <si>
    <t>RD 515 Financing</t>
  </si>
  <si>
    <t>understands that Subsection 42(m)(1)(B)(iii) of the Code requires the Fund, as the housing credit agency for the State, to monitor for noncompliance with Section 42 of the Code and to report any such noncompliance to the IRS;</t>
  </si>
  <si>
    <t>understands that the Codes, as applicable, require the Fund, as the participating jurisdiction for the State and the state-designated entity, as applicable, to monitor for compliance as mandated by the Codes;</t>
  </si>
  <si>
    <t>If 6. above is FALSE, the property cannot be considered one property for purposes of applying for Low-Income Housing Tax Credits.  This restriction does not apply to Tax-Exempt Bond Financed Properties.</t>
  </si>
  <si>
    <t>EXISTING HOUSING UNITS</t>
  </si>
  <si>
    <t>ALL OTHER UNITS</t>
  </si>
  <si>
    <t>EXISTING EFF</t>
  </si>
  <si>
    <t>EXISTING 1BR</t>
  </si>
  <si>
    <t>EXISTING 2BR</t>
  </si>
  <si>
    <t>EXISTING 3BR</t>
  </si>
  <si>
    <t>EXISTING 4BR</t>
  </si>
  <si>
    <t>OTHER EFF</t>
  </si>
  <si>
    <t>OTHER 1BR</t>
  </si>
  <si>
    <t>OTHER 2BR</t>
  </si>
  <si>
    <t>OTHER 3BR</t>
  </si>
  <si>
    <t>OTHER 4BR</t>
  </si>
  <si>
    <t>combined EX HS</t>
  </si>
  <si>
    <t>combined ex housing</t>
  </si>
  <si>
    <t>Column (A)</t>
  </si>
  <si>
    <t>Column (B)</t>
  </si>
  <si>
    <t>B4 DDF deduct</t>
  </si>
  <si>
    <t>Applicable  Fraction (From VI. 9.)</t>
  </si>
  <si>
    <t>Qualified Basis (From IX. 3.)</t>
  </si>
  <si>
    <t>Total Eligible Housing Credit Dollar Amount</t>
  </si>
  <si>
    <t>PERCENTAGE OF INTERMEDIARY COSTS TO TOTAL PROPERTY COSTS</t>
  </si>
  <si>
    <t>Fund Multi-Family Loan</t>
  </si>
  <si>
    <t>Fund HTF Loan - Amortizing</t>
  </si>
  <si>
    <t>Fund HTF Loan - Deferred</t>
  </si>
  <si>
    <t>Fund HOME Program Loan - Amortizing</t>
  </si>
  <si>
    <t>Fund HOME Program Loan - Deferred</t>
  </si>
  <si>
    <t>LESS: PROPERTY COSTS NOT ALLOWED:</t>
  </si>
  <si>
    <t>TOTAL ANNUAL ELIGIBLE HCDA (WVHDF ADJUSTED)</t>
  </si>
  <si>
    <r>
      <t xml:space="preserve">TOTAL ANNUAL HCDA RESERVED (IF APPLICABLE) - </t>
    </r>
    <r>
      <rPr>
        <b/>
        <u/>
        <sz val="10"/>
        <rFont val="Calibri"/>
        <family val="2"/>
      </rPr>
      <t>FOR FUND USE ONLY</t>
    </r>
  </si>
  <si>
    <r>
      <t xml:space="preserve">TOTAL ANNUAL HCDA AT CARRYOVER (IF APPLICABLE) - </t>
    </r>
    <r>
      <rPr>
        <b/>
        <u/>
        <sz val="10"/>
        <rFont val="Calibri"/>
        <family val="2"/>
      </rPr>
      <t>FOR FUND USE ONLY</t>
    </r>
  </si>
  <si>
    <t>PER UNIT</t>
  </si>
  <si>
    <t>CREDIT LIMITS</t>
  </si>
  <si>
    <t>TOTAL PER UNIT LIMIT</t>
  </si>
  <si>
    <r>
      <t xml:space="preserve">ALLOCATION AMOUNT LIMITATION FOR THE PROPERTY - </t>
    </r>
    <r>
      <rPr>
        <b/>
        <u/>
        <sz val="10"/>
        <rFont val="Calibri"/>
        <family val="2"/>
      </rPr>
      <t>FOR FUND USE ONLY</t>
    </r>
  </si>
  <si>
    <t>15% OF PER CAPITA PORTION</t>
  </si>
  <si>
    <t>*** ONLY USE THIS PAGE IF THE APPLICANT IS REQUESTING A FUND-PROVIDED MULTI-FAMILY LOAN ***</t>
  </si>
  <si>
    <r>
      <t xml:space="preserve">*** ONLY USE PAGE 2a IF THIS IS AN </t>
    </r>
    <r>
      <rPr>
        <b/>
        <u/>
        <sz val="14"/>
        <color rgb="FFFF0000"/>
        <rFont val="Calibri"/>
        <family val="2"/>
        <scheme val="minor"/>
      </rPr>
      <t>ALLOCATION REQUEST</t>
    </r>
    <r>
      <rPr>
        <b/>
        <sz val="14"/>
        <color rgb="FFFF0000"/>
        <rFont val="Calibri"/>
        <family val="2"/>
        <scheme val="minor"/>
      </rPr>
      <t xml:space="preserve"> ***</t>
    </r>
  </si>
  <si>
    <r>
      <t xml:space="preserve">*** ONLY USE PAGE 5a IF THIS IS AN </t>
    </r>
    <r>
      <rPr>
        <b/>
        <u/>
        <sz val="14"/>
        <color rgb="FFFF0000"/>
        <rFont val="Calibri"/>
        <family val="2"/>
        <scheme val="minor"/>
      </rPr>
      <t>ALLOCATION REQUEST</t>
    </r>
    <r>
      <rPr>
        <b/>
        <sz val="14"/>
        <color rgb="FFFF0000"/>
        <rFont val="Calibri"/>
        <family val="2"/>
        <scheme val="minor"/>
      </rPr>
      <t xml:space="preserve"> ***</t>
    </r>
  </si>
  <si>
    <r>
      <t xml:space="preserve">*** ONLY USE PAGE 5b IF THIS IS AN </t>
    </r>
    <r>
      <rPr>
        <b/>
        <u/>
        <sz val="14"/>
        <color rgb="FFFF0000"/>
        <rFont val="Calibri"/>
        <family val="2"/>
        <scheme val="minor"/>
      </rPr>
      <t>ALLOCATION REQUEST</t>
    </r>
    <r>
      <rPr>
        <b/>
        <sz val="14"/>
        <color rgb="FFFF0000"/>
        <rFont val="Calibri"/>
        <family val="2"/>
        <scheme val="minor"/>
      </rPr>
      <t xml:space="preserve"> ***</t>
    </r>
  </si>
  <si>
    <r>
      <t xml:space="preserve">*** ONLY USE PAGE 7a IF THIS IS AN </t>
    </r>
    <r>
      <rPr>
        <b/>
        <u/>
        <sz val="14"/>
        <color rgb="FFFF0000"/>
        <rFont val="Calibri"/>
        <family val="2"/>
        <scheme val="minor"/>
      </rPr>
      <t>ALLOCATION REQUEST</t>
    </r>
    <r>
      <rPr>
        <b/>
        <sz val="14"/>
        <color rgb="FFFF0000"/>
        <rFont val="Calibri"/>
        <family val="2"/>
        <scheme val="minor"/>
      </rPr>
      <t xml:space="preserve"> ***</t>
    </r>
  </si>
  <si>
    <r>
      <t xml:space="preserve">*** ONLY USE PAGE 8a IF THIS IS AN </t>
    </r>
    <r>
      <rPr>
        <b/>
        <u/>
        <sz val="14"/>
        <color rgb="FFFF0000"/>
        <rFont val="Calibri"/>
        <family val="2"/>
        <scheme val="minor"/>
      </rPr>
      <t>ALLOCATION REQUEST</t>
    </r>
    <r>
      <rPr>
        <b/>
        <sz val="14"/>
        <color rgb="FFFF0000"/>
        <rFont val="Calibri"/>
        <family val="2"/>
        <scheme val="minor"/>
      </rPr>
      <t xml:space="preserve"> ***</t>
    </r>
  </si>
  <si>
    <r>
      <t xml:space="preserve">*** ONLY USE PAGE 15a IF THIS APPLICATION IS REQUESTING HOUSING CREDIT DOLLAR AMOUNTS FROM THE </t>
    </r>
    <r>
      <rPr>
        <b/>
        <u/>
        <sz val="14"/>
        <color rgb="FF9999FF"/>
        <rFont val="Calibri"/>
        <family val="2"/>
        <scheme val="minor"/>
      </rPr>
      <t>QUALIFIED NON-PROFIT SET-ASIDE CATEGORY</t>
    </r>
    <r>
      <rPr>
        <b/>
        <sz val="14"/>
        <color rgb="FF9999FF"/>
        <rFont val="Calibri"/>
        <family val="2"/>
        <scheme val="minor"/>
      </rPr>
      <t xml:space="preserve"> ***</t>
    </r>
  </si>
  <si>
    <t>Other (e.g. Annual RD 538 Fee)</t>
  </si>
  <si>
    <t>Totals for all Revenue Residential Rental Units</t>
  </si>
  <si>
    <t>Totals for all Non-Revenue Residential Units</t>
  </si>
  <si>
    <t>Totals for all Residential Units</t>
  </si>
  <si>
    <t>Asset Description</t>
  </si>
  <si>
    <t>Amount of Total Residential Rental Adjusted Basis (Line 1) that is Attributable to Market Rate Residential Rental Units that are of Higher Quality than Low-Income Residential Rental Units</t>
  </si>
  <si>
    <t>Total Deductions (Lines 2 thru 6)</t>
  </si>
  <si>
    <t>Eligible Basis Before Increase in Basis for High Cost Areas (Line 1 Less Line 7)</t>
  </si>
  <si>
    <t>High Cost Adjustment, if Applicable (up to 30% of Line 8)</t>
  </si>
  <si>
    <t>Eligible Basis After Increase in Basis for High Cost Areas (Line 8 + Line 9)</t>
  </si>
  <si>
    <t>Eligible Basis (From VIII. 10)</t>
  </si>
  <si>
    <t>Amount of Line 1 that is attributable to Market Rate Units that are of higher quality than Low-Income Units</t>
  </si>
  <si>
    <t>High Cost Adjustment, if Applicable (30% of Line 8)</t>
  </si>
  <si>
    <t>Catherine Colby</t>
  </si>
  <si>
    <t>Nathan Testman</t>
  </si>
  <si>
    <t>Annual Cash Flow Projection for Years 15 through 30 (Years 16 through 30 calculated using annual percentage increases from XX.)</t>
  </si>
  <si>
    <t>In order for the Selection and Preference Criteria section of the Form 1040 to provide a correct self-score, the Unit Detail provided on page two is summarized below:</t>
  </si>
  <si>
    <t>Post-construction, the low-income residential rental tenants will be furnished services other than housing:</t>
  </si>
  <si>
    <t>Commercial Rental Units</t>
  </si>
  <si>
    <t>Total Monthly Rent for Commercial Units</t>
  </si>
  <si>
    <t>Acq. of Existing Structures</t>
  </si>
  <si>
    <t>New Struct./Rehab of Exist Struct</t>
  </si>
  <si>
    <t>Builder's Cost - Bond Prem or LOC</t>
  </si>
  <si>
    <t>Construction Pd Int (B4 PIS)</t>
  </si>
  <si>
    <t>Const Loan Int (After PIS)</t>
  </si>
  <si>
    <t>Property Costs and Adjusted Basis as Adjusted</t>
  </si>
  <si>
    <t>Property Costs and Adjusted Basis as Adjusted (Truncated)</t>
  </si>
  <si>
    <t>Fund Adjustments to Property Costs and Adjusted Basis</t>
  </si>
  <si>
    <t xml:space="preserve">Acquisition - </t>
  </si>
  <si>
    <t>Rehab/New -</t>
  </si>
  <si>
    <t>PERCENTAGE OF NET SYNDICATION PROCEEDS TO THE AGGREGATE HOUSING CREDIT DOLLAR AMOUNT SYNDICATED:</t>
  </si>
  <si>
    <t>AGGREGATE HOUSING CREDIT DOLLAR AMOUNT SYNDICATED TO FILL EQUITY GAP WITH SYNDICATION PROCEEDS:</t>
  </si>
  <si>
    <t>ANNUAL HCDA SYNDICATED TO FILL EQUITY GAP WITH SYNDICATION PROCEEDS:</t>
  </si>
  <si>
    <t>ANNUAL HOUSING CREDIT DOLLAR AMOUNT NEEDED IN ORDER TO SYNDICATE INVESTOR % OF THE INVESTMENT INTEREST:</t>
  </si>
  <si>
    <t>Post-construction number of residential rental units in the property which will have project-based rental assistance:</t>
  </si>
  <si>
    <t>Percentage of residential rental units in the property which will have project-based rental assistance:</t>
  </si>
  <si>
    <t>Post-construction the property will have property-based rental assistance:</t>
  </si>
  <si>
    <t>Percentage of residential rental units which will receive project-based rental assistance:</t>
  </si>
  <si>
    <t>Post-construction number of units which will receive project-based rental assistance:</t>
  </si>
  <si>
    <t>Number of total years of the project-based rental assistance contract:</t>
  </si>
  <si>
    <t>Expiration date of project-based rental assistance contract:</t>
  </si>
  <si>
    <t>There is an option to renew the project-based rental assistance contract:</t>
  </si>
  <si>
    <t>Post-construction, some or all of the low-income units will receive rental assistance:</t>
  </si>
  <si>
    <t>Post-construction, one or more buildings in the property will be used exclusively to facilitate the transition of homeless individuals (within the meaning of Section 103 of the Stewart B. McKinney Act) to independent living within 24 months:</t>
  </si>
  <si>
    <t>[If 1. above is TRUE] A governmental entity or a qualified non-profit will be providing such individuals with temporary housing and supportive services designed to assist in locating and retaining permanent housing:</t>
  </si>
  <si>
    <t>[If 1. and 2. above are TRUE] All units in such buildings will contain sleeping accommodations, and kitchen and bathroom facilities:</t>
  </si>
  <si>
    <r>
      <rPr>
        <b/>
        <u/>
        <sz val="10"/>
        <rFont val="Calibri"/>
        <family val="2"/>
        <scheme val="minor"/>
      </rPr>
      <t>Regarding the High Cost Adjustment (Line 9 below)</t>
    </r>
    <r>
      <rPr>
        <b/>
        <sz val="10"/>
        <rFont val="Calibri"/>
        <family val="2"/>
        <scheme val="minor"/>
      </rPr>
      <t>:</t>
    </r>
  </si>
  <si>
    <t>Building 6 Eligible HCDA (Qualified Basis times Applicable Percentage)</t>
  </si>
  <si>
    <t>Building 7 Eligible HCDA (Qualified Basis times Applicable Percentage)</t>
  </si>
  <si>
    <t>Building 8 Eligible HCDA (Qualified Basis times Applicable Percentage)</t>
  </si>
  <si>
    <t>Building 1 Eligible HCDA (Qualified Basis times Applicable Percentage)</t>
  </si>
  <si>
    <t>Building 2 Eligible HCDA (Qualified Basis times Applicable Percentage)</t>
  </si>
  <si>
    <t>Building 3 Eligible HCDA (Qualified Basis times Applicable Percentage)</t>
  </si>
  <si>
    <t>Building 4 Eligible HCDA (Qualified Basis times Applicable Percentage)</t>
  </si>
  <si>
    <t>Building 5 Eligible HCDA (Qualified Basis times Applicable Percentage)</t>
  </si>
  <si>
    <t>Building 10 Eligible HCDA (Qualified Basis times Applicable Percentage)</t>
  </si>
  <si>
    <t>Building 11 Eligible HCDA (Qualified Basis times Applicable Percentage)</t>
  </si>
  <si>
    <t>Building 12 Eligible HCDA (Qualified Basis times Applicable Percentage)</t>
  </si>
  <si>
    <t>Building 13 Eligible HCDA (Qualified Basis times Applicable Percentage)</t>
  </si>
  <si>
    <t>Building 14 Eligible HCDA (Qualified Basis times Applicable Percentage)</t>
  </si>
  <si>
    <t>Building 15 Eligible HCDA (Qualified Basis times Applicable Percentage)</t>
  </si>
  <si>
    <t>Building 9 Eligible HCDA (Qualified Basis times Applicable Percentage)</t>
  </si>
  <si>
    <t>Rehabilitation Expenditures as a Percentage of the Property's Adjusted Basis (Line 2.a./Line 2.b.) (This percentage must be equal to or exceed 20%.)</t>
  </si>
  <si>
    <t>Number of Residential Rental Units in the Property</t>
  </si>
  <si>
    <t>Hard Cost Rehabilitation Residential Rental Adjusted Basis for each Residential Rental Unit in the Property (Line 3.a./Line 3.b.) (This amount must be equal to or exceed $25,000.)</t>
  </si>
  <si>
    <t>Uses of Funds - Summarize the property costs (from page 3, Line 32) below</t>
  </si>
  <si>
    <t>(b)(4)(ii)(A)</t>
  </si>
  <si>
    <t>Description of Commercial Units</t>
  </si>
  <si>
    <t>Gross Rents (From XVIII) (times 12)</t>
  </si>
  <si>
    <t>Cash Flow Before Deferred Developer Fee Payment per Residential Rental Unit</t>
  </si>
  <si>
    <t>Cash Flow After Deferred Developer Fee Payment per Residential Rental Unit</t>
  </si>
  <si>
    <t>Less: Expenses</t>
  </si>
  <si>
    <t xml:space="preserve">            Annual Asset Management Fee, regardless of priority position in distribution of cash flow</t>
  </si>
  <si>
    <t>Total residential rental units provided:</t>
  </si>
  <si>
    <t>Number of residential rental units other than Existing Low-Income Housing units provided by the property:</t>
  </si>
  <si>
    <t>If the date in 1. above was determined due to the applicability of one of the five special rules contained in Subsection 42(d)(2)(D)(i) of the Code (i.e. a placement in service which occurred less than ten years prior to the acquisition by the Owner was ignored), please identify which rule below:</t>
  </si>
  <si>
    <t>One Year from Carryover Allocation Certificate</t>
  </si>
  <si>
    <t>Market Study Resubmission Fee</t>
  </si>
  <si>
    <t>Recorded Deed</t>
  </si>
  <si>
    <t>If Committed,</t>
  </si>
  <si>
    <t>Number of Non-Revenue Residential Units:</t>
  </si>
  <si>
    <t>[If answer to 2 is greater than zero] Detail of what such buildings contain:</t>
  </si>
  <si>
    <t>[If answer to 2 is greater than zero] Costs included in total property costs to build or rehabilitate such buildings:</t>
  </si>
  <si>
    <t>Total Residential Units (D.1. plus D.2. plus D.3.):</t>
  </si>
  <si>
    <t>[If 2. above is FALSE, and 3. and 4. above are TRUE] Post-construction, 100% of the units will be rent-restricted and occupied by tenants with qualifying incomes:</t>
  </si>
  <si>
    <t>[If 1. above is TRUE] Post-construction, one or more of the units in such buildings will be occupied by a Principal of the Owner:</t>
  </si>
  <si>
    <t>[If 1. above is TRUE] Post-construction, one or more of the units in such buildings will be occupied by a person related to a Principal of the Owner:</t>
  </si>
  <si>
    <t>Post-construction, a portion of the property will include a "community service facility" as defined by Subsection 42(d)(4)(C) of the Code:</t>
  </si>
  <si>
    <r>
      <t xml:space="preserve">Date of Obtaining </t>
    </r>
    <r>
      <rPr>
        <b/>
        <u/>
        <sz val="10"/>
        <rFont val="Calibri"/>
        <family val="2"/>
        <scheme val="minor"/>
      </rPr>
      <t>All</t>
    </r>
    <r>
      <rPr>
        <b/>
        <sz val="10"/>
        <rFont val="Calibri"/>
        <family val="2"/>
        <scheme val="minor"/>
      </rPr>
      <t xml:space="preserve"> Permanent Financing </t>
    </r>
    <r>
      <rPr>
        <b/>
        <u/>
        <sz val="10"/>
        <rFont val="Calibri"/>
        <family val="2"/>
        <scheme val="minor"/>
      </rPr>
      <t>Commitments</t>
    </r>
    <r>
      <rPr>
        <b/>
        <sz val="10"/>
        <rFont val="Calibri"/>
        <family val="2"/>
        <scheme val="minor"/>
      </rPr>
      <t xml:space="preserve"> (Loans and Grants) (Including Any Developer Financing)</t>
    </r>
  </si>
  <si>
    <t>Initial Fee Based Upon HCDA Requested by this Reservation Request (Line 1. times Line 2.)</t>
  </si>
  <si>
    <t>Estimate of Total Tax Credit Processing Fee (Line 1. times Line 2.)</t>
  </si>
  <si>
    <t>Initial Fee Based Upon HCDA Requested (Line 1. times Line 2.)</t>
  </si>
  <si>
    <t>Final Fee Based Upon HCDA Allocated (Line 6. times Line 7.)</t>
  </si>
  <si>
    <t>Final Fee Earned (Line 8. plus Line 9.)</t>
  </si>
  <si>
    <t>Initial Fee Earned (Line 3. plus Line 4.)</t>
  </si>
  <si>
    <t>Total LIHTCP Processing Fee (Line 5. plus Line 10. plus Line 11. plus Line 12. plus Line 13. plus Line 14.)</t>
  </si>
  <si>
    <t>understands that compliance with the requirements of the Codes, as applicable, are the sole responsibility of the Owner;</t>
  </si>
  <si>
    <r>
      <t xml:space="preserve">The PH units constructed must replace units that were removed from a PHA's PH inventory as part of a Choice program grant, or as part of a mixed-financed development under section 35 of the United States Housing Act of 1937, </t>
    </r>
    <r>
      <rPr>
        <b/>
        <u/>
        <sz val="10"/>
        <rFont val="Calibri"/>
        <family val="2"/>
        <scheme val="minor"/>
      </rPr>
      <t>and</t>
    </r>
    <r>
      <rPr>
        <b/>
        <sz val="10"/>
        <rFont val="Calibri"/>
        <family val="2"/>
        <scheme val="minor"/>
      </rPr>
      <t xml:space="preserve"> the number of replacement units cannot exceed the number of units removed from the PHA's inventory.</t>
    </r>
  </si>
  <si>
    <t>Do the Principals of the general contractor have an identity of interest (any direct or indirect relationship or interest) with the Principals of the property developer?</t>
  </si>
  <si>
    <t>Median Household Income (Maximum Points Available: 20 for New Supply or 10 for Existing Low-Income Housing)</t>
  </si>
  <si>
    <t>Building by Building Calculation of the Eligible Housing Credit Dollar Amount - (Continued)</t>
  </si>
  <si>
    <t>Section 8 - Project-Based Assistance</t>
  </si>
  <si>
    <t>is responsible for ensuring that the property consists or will consist of units (and/or buildings) as defined in the HOME Program and/or HTF Program, as applicable, and for ensuring that the property is in continuous compliance with all requirements imposed under Title 24 Code of Federal Regulations Part 92 and Part 93, respectively ("Codes");</t>
  </si>
  <si>
    <t>DDF Remaining Calculation Assist:</t>
  </si>
  <si>
    <t>Property Development Team (if a Team Member role is not applicable to the property, leave blank - do not enter N/A)</t>
  </si>
  <si>
    <t>Fund Fee Adjustment</t>
  </si>
  <si>
    <t>Any consultant or consulting entity which will receive 25% or more of the total Developer's Fee is considered by the Fund to be a co-developer and must be listed on page 1b.  Any other consultant or consulting entity must be listed on page 30.</t>
  </si>
  <si>
    <t>Note: Eligible HCDA Totals above might not equal the Eligible HCDA amount shown for the entire property on page 5.</t>
  </si>
  <si>
    <t>Amount of Financing Requested</t>
  </si>
  <si>
    <t>Requested Terms (Interest Rate and Loan Term)</t>
  </si>
  <si>
    <t>MOU Executed</t>
  </si>
  <si>
    <t>Source 11</t>
  </si>
  <si>
    <r>
      <t xml:space="preserve">Sources of Funds - Permanent Financing </t>
    </r>
    <r>
      <rPr>
        <b/>
        <u/>
        <sz val="10"/>
        <rFont val="Calibri"/>
        <family val="2"/>
        <scheme val="minor"/>
      </rPr>
      <t>and (if applicable) Request for Fund-Provided Permanent Financing (Lines 7 through 11)</t>
    </r>
  </si>
  <si>
    <r>
      <rPr>
        <b/>
        <u/>
        <sz val="10"/>
        <rFont val="Calibri"/>
        <family val="2"/>
        <scheme val="minor"/>
      </rPr>
      <t>Request for Fund-Provided Construction Financing</t>
    </r>
    <r>
      <rPr>
        <b/>
        <sz val="10"/>
        <rFont val="Calibri"/>
        <family val="2"/>
        <scheme val="minor"/>
      </rPr>
      <t xml:space="preserve"> *</t>
    </r>
  </si>
  <si>
    <t>Term (Yrs)</t>
  </si>
  <si>
    <t>RD 538 Eligible</t>
  </si>
  <si>
    <t>For an Applicant requesting a Fund Multi-Family Loan (Source 7), the property is located in a rural area as defined by RD:</t>
  </si>
  <si>
    <t>Click here for RD website</t>
  </si>
  <si>
    <t>Visit the RD website to determine if the site is located in a rural area:</t>
  </si>
  <si>
    <t>if the loan is guaranteed under Section 538 of the Housing Act of 1949, understands that the Title 7 Code of Federal Regulations Part 3565 ("Code"), as applicable, requires the Fund, as the lender, to monitor for compliance as mandated by the Code;</t>
  </si>
  <si>
    <t>understands that compliance with the requirements of the Code, as applicable, are the sole responsibility of the Owner;</t>
  </si>
  <si>
    <t>understands that the Fund's obligation to monitor for compliance with the requirements of the Code, as applicable, does not make the Fund liable for an Owner's noncompliance or relieve an owner of its responsibility for compliance;</t>
  </si>
  <si>
    <t>understands that the Fund's obligation to monitor for compliance with the requirements of the Codes, as applicable, does not make the Fund liable for an Owner's noncompliance or relieve an Owner of its responsibility for compliance;</t>
  </si>
  <si>
    <t>Difference Between Sources (B) and Uses (C) of Funds (must be $0.00):</t>
  </si>
  <si>
    <t xml:space="preserve">            Debt Service (Principal and Interest) (From XIV.B.)</t>
  </si>
  <si>
    <t>hereby makes application to the Fund for the Multi-Family Loan amount as listed on page 8, section XIV.B. of this application; and/or for the Construction Loan amount as listed on page 8, section XIV.A. of this application; and</t>
  </si>
  <si>
    <t>hereby makes application to the Fund for the HOME Program and/or HTF amount(s) as listed on page 8, section XIV.B. of this application; and</t>
  </si>
  <si>
    <t>Option to Enter Into a Long-Term Lease</t>
  </si>
  <si>
    <t>In addition to the above Tenant Relocation Plan documentation, the developer must provide copies of:</t>
  </si>
  <si>
    <t>A current Rent Roll along with the monthly Rent Rolls from four months prior to the proposal submission date.</t>
  </si>
  <si>
    <t>For permanent displacement, completed tenant questionnaires for all of the current tenants.</t>
  </si>
  <si>
    <t>A detailed relocation plan describing the manner in which the temporary and permanent displacements of tenants will be handled (for permanent displacements, include with the plan a comparison of the current rents being charged and the proposed rents for the project.</t>
  </si>
  <si>
    <t>understands that the Owner must be in compliance with the Fund's Multi-Family Lending Policy in order to be eligible to receive Fund financing and is willing to comply with any applicable requirements in order to further the proposal to final application;</t>
  </si>
  <si>
    <r>
      <t xml:space="preserve">A relocation budget that details the calculations for temporary relocation assistance; </t>
    </r>
    <r>
      <rPr>
        <u/>
        <sz val="9.75"/>
        <rFont val="Calibri"/>
        <family val="2"/>
        <scheme val="minor"/>
      </rPr>
      <t>and</t>
    </r>
    <r>
      <rPr>
        <sz val="9.75"/>
        <rFont val="Calibri"/>
        <family val="2"/>
        <scheme val="minor"/>
      </rPr>
      <t xml:space="preserve"> for permanently displaced tenants: the rental payment assistance and moving expenses and three comparable replacement housing options.</t>
    </r>
  </si>
  <si>
    <t>[If F. above is TRUE] Describe:</t>
  </si>
  <si>
    <r>
      <t xml:space="preserve">[If G. above is TRUE] </t>
    </r>
    <r>
      <rPr>
        <b/>
        <u/>
        <sz val="10"/>
        <rFont val="Calibri"/>
        <family val="2"/>
        <scheme val="minor"/>
      </rPr>
      <t>All</t>
    </r>
    <r>
      <rPr>
        <b/>
        <sz val="10"/>
        <rFont val="Calibri"/>
        <family val="2"/>
        <scheme val="minor"/>
      </rPr>
      <t xml:space="preserve"> amenities, facilities, equipment and services are provided on an </t>
    </r>
    <r>
      <rPr>
        <b/>
        <u/>
        <sz val="10"/>
        <rFont val="Calibri"/>
        <family val="2"/>
        <scheme val="minor"/>
      </rPr>
      <t>equal</t>
    </r>
    <r>
      <rPr>
        <b/>
        <sz val="10"/>
        <rFont val="Calibri"/>
        <family val="2"/>
        <scheme val="minor"/>
      </rPr>
      <t xml:space="preserve"> basis to the tenants of the low-income residential rental units, as compared to the tenants of the market rate residential rental units:</t>
    </r>
  </si>
  <si>
    <t>Other Costs (Totals from Page 4)</t>
  </si>
  <si>
    <t>Eligible Basis Before Increase in Basis for High Cost Areas (Line 1 less Line 7)</t>
  </si>
  <si>
    <t>Telephone Number (enter 10-digit number)</t>
  </si>
  <si>
    <t>(Phone number - enter 10-digit number)</t>
  </si>
  <si>
    <t>PHA phone number (enter 10-digit number):</t>
  </si>
  <si>
    <t>New/Rehab</t>
  </si>
  <si>
    <t>Eligible HCDA Assist</t>
  </si>
  <si>
    <t>Processing Stage</t>
  </si>
  <si>
    <t>RR or CAR (from page 5, X.3.)</t>
  </si>
  <si>
    <t>AR (from page 7a)</t>
  </si>
  <si>
    <t>It is possible to request credit amounts for a building that are below the credit amounts the building is eligible to receive.  In order to request less credits than a building is eligible for, the Applicant should enter the reduced credit amounts for the building below in the HCDA Requested columns.  Such reduced credit amount must be proportionally spread among all buildings based upon the credit each building is eligible to receive (e.g. if a property consists of two buildings and both buildings are eligible for $50,000 of New Credit, and the Owner only wants to request total credits in the amount of $75,000, the reduced credit amount for both buildings would be $37,500).</t>
  </si>
  <si>
    <r>
      <t xml:space="preserve">Each item listed in the Energy Efficiency and Quality of Housing section (pages 20 through 23) must be certified to by the Owner, the Property Architect, and the Property Contractor.  </t>
    </r>
    <r>
      <rPr>
        <b/>
        <u/>
        <sz val="10"/>
        <rFont val="Calibri"/>
        <family val="2"/>
        <scheme val="minor"/>
      </rPr>
      <t>If the property is a Scattered Site Property, the Fund must be contacted for additional information regarding completion of this section</t>
    </r>
    <r>
      <rPr>
        <b/>
        <sz val="10"/>
        <rFont val="Calibri"/>
        <family val="2"/>
        <scheme val="minor"/>
      </rPr>
      <t>.</t>
    </r>
  </si>
  <si>
    <r>
      <t xml:space="preserve">*** ONLY USE PAGE 31a IF THIS IS AN </t>
    </r>
    <r>
      <rPr>
        <b/>
        <u/>
        <sz val="14"/>
        <color rgb="FFFF0000"/>
        <rFont val="Calibri"/>
        <family val="2"/>
        <scheme val="minor"/>
      </rPr>
      <t>ALLOCATION REQUEST</t>
    </r>
    <r>
      <rPr>
        <b/>
        <sz val="14"/>
        <color rgb="FFFF0000"/>
        <rFont val="Calibri"/>
        <family val="2"/>
        <scheme val="minor"/>
      </rPr>
      <t xml:space="preserve"> ***</t>
    </r>
  </si>
  <si>
    <t>Loan</t>
  </si>
  <si>
    <t>Natural Gas</t>
  </si>
  <si>
    <t>units will receive project-based rental assistance.</t>
  </si>
  <si>
    <t xml:space="preserve">Post-construction     </t>
  </si>
  <si>
    <t>Remaining Sources (Each must equal zero)</t>
  </si>
  <si>
    <t>Properties Committed to Eventual Tenant Ownership (Points Available: 5) *</t>
  </si>
  <si>
    <t>NET EXCESS (DEFICIENCY) - PROPERTY COSTS</t>
  </si>
  <si>
    <t>LESS: EXCESS PROPERTY COSTS JUSTIFIED (IN THE FUND'S SOLE DISCRETION)</t>
  </si>
  <si>
    <r>
      <t>Total Size of Site (</t>
    </r>
    <r>
      <rPr>
        <b/>
        <u/>
        <sz val="10"/>
        <rFont val="Calibri"/>
        <family val="2"/>
        <scheme val="minor"/>
      </rPr>
      <t>All Parcels</t>
    </r>
    <r>
      <rPr>
        <b/>
        <sz val="10"/>
        <rFont val="Calibri"/>
        <family val="2"/>
        <scheme val="minor"/>
      </rPr>
      <t>):</t>
    </r>
  </si>
  <si>
    <t>The property site is listed on, or eligible for listing on, the National Register of Historic Places; located within, or adjacent to, a historic district; or is a property whose area of potential effect includes a historic district or property:</t>
  </si>
  <si>
    <t>General Information Notice sent to all households and proof that notices were received prior to proposal submission date.</t>
  </si>
  <si>
    <t>(2-14-19)</t>
  </si>
  <si>
    <t>Limited Liability Company</t>
  </si>
  <si>
    <t>(b)(1) &amp; (2)</t>
  </si>
  <si>
    <t>(b)(4)(i) &amp; (ii)(A)</t>
  </si>
  <si>
    <t>Utility Service Provider</t>
  </si>
  <si>
    <t>(Company/City Name)</t>
  </si>
  <si>
    <t>Permitted for HOME/ HTF?</t>
  </si>
  <si>
    <t>Federal</t>
  </si>
  <si>
    <t>PMT</t>
  </si>
  <si>
    <t>YEARLY</t>
  </si>
  <si>
    <t># OF</t>
  </si>
  <si>
    <t>DAILY</t>
  </si>
  <si>
    <t>MONTHLY</t>
  </si>
  <si>
    <t>#</t>
  </si>
  <si>
    <t>ACTIVITY</t>
  </si>
  <si>
    <t>BALANCE</t>
  </si>
  <si>
    <t>PAYMENT</t>
  </si>
  <si>
    <t>RATE</t>
  </si>
  <si>
    <t>DAYS</t>
  </si>
  <si>
    <t>INTEREST</t>
  </si>
  <si>
    <t>PAYMENT &amp; ACCRUE INT</t>
  </si>
  <si>
    <t>RD 538 + Other Fees</t>
  </si>
  <si>
    <t xml:space="preserve">            Other Fee (If Applicable)</t>
  </si>
  <si>
    <t xml:space="preserve">Describe:   </t>
  </si>
  <si>
    <t xml:space="preserve">            Annual RD 538 Fee (if applicable) - fill out information below to calculate amount</t>
  </si>
  <si>
    <t>Amount of Financing:</t>
  </si>
  <si>
    <t>Interest Rate</t>
  </si>
  <si>
    <t>Amortization Period</t>
  </si>
  <si>
    <t>Only fill out this section for properties which will have an RD 538 Guarantee on permanent financing:</t>
  </si>
  <si>
    <t xml:space="preserve">         Annual RD 538 Fee</t>
  </si>
  <si>
    <t xml:space="preserve">         Other Fee</t>
  </si>
  <si>
    <t>LIHTCP Rent Target</t>
  </si>
  <si>
    <t>Poverty/Public Assistance - Households Receiving Food Stamps/SNAP as a Percentage of Total Households (Maximum Points Available: 10 for New Supply or 5 for Existing Low-Income Housing)</t>
  </si>
  <si>
    <t>Alderson Elementary</t>
  </si>
  <si>
    <t>Ansted Elementary</t>
  </si>
  <si>
    <t>Arthur I Boreman Elementary School</t>
  </si>
  <si>
    <t>Ashford-Rumble Elementary</t>
  </si>
  <si>
    <t>Aurora School</t>
  </si>
  <si>
    <t>Beckley Elementary</t>
  </si>
  <si>
    <t>Belington Elementary</t>
  </si>
  <si>
    <t>Blue Ridge Elementary School</t>
  </si>
  <si>
    <t>Bluefield Intermediate School</t>
  </si>
  <si>
    <t>B-U Middle School</t>
  </si>
  <si>
    <t>Bunker Hill Elementary</t>
  </si>
  <si>
    <t>Burch Pk8</t>
  </si>
  <si>
    <t>Burlington Primary</t>
  </si>
  <si>
    <t>Center Mcmechen Elementary School</t>
  </si>
  <si>
    <t>Central Elementary School (Marshall County)</t>
  </si>
  <si>
    <t>Ceredo-Kenova Elementary</t>
  </si>
  <si>
    <t>Clear Fork District Elementary</t>
  </si>
  <si>
    <t>Collins Middle</t>
  </si>
  <si>
    <t>Confidence Elementary</t>
  </si>
  <si>
    <t>Conner Street Elementary</t>
  </si>
  <si>
    <t>Creed Collins Elementary</t>
  </si>
  <si>
    <t>Crescent Elementary</t>
  </si>
  <si>
    <t>Crichton Elementary</t>
  </si>
  <si>
    <t>Crum Pre K-8 School</t>
  </si>
  <si>
    <t>Daniels Elementary</t>
  </si>
  <si>
    <t>Davis Thomas Elementary Middle School</t>
  </si>
  <si>
    <t>Divide Elementary</t>
  </si>
  <si>
    <t>Dunbar Intermediate Center</t>
  </si>
  <si>
    <t>Duval Pk-8</t>
  </si>
  <si>
    <t>Explorer Academy</t>
  </si>
  <si>
    <t>Fayetteville Elementary</t>
  </si>
  <si>
    <t>Fayetteville High</t>
  </si>
  <si>
    <t>Fellowsville Elementary</t>
  </si>
  <si>
    <t>Frankford Elementary (Greenbrier County)</t>
  </si>
  <si>
    <t>Frankfort Intermediate School</t>
  </si>
  <si>
    <t>Franklin Elementary Center (Wood County)</t>
  </si>
  <si>
    <t>French Creek Elementary</t>
  </si>
  <si>
    <t>Gatewood Elementary</t>
  </si>
  <si>
    <t>Gauley Bridge Elementary (Fayette County)</t>
  </si>
  <si>
    <t>Ghent Elementary</t>
  </si>
  <si>
    <t>Gilmer County Elementary School</t>
  </si>
  <si>
    <t>Green Bank Elementary-Middle School</t>
  </si>
  <si>
    <t>Guyan Valley Middle</t>
  </si>
  <si>
    <t>H E White Elementary School</t>
  </si>
  <si>
    <t>Hamlin Pk-8</t>
  </si>
  <si>
    <t>Harrisville Elementary</t>
  </si>
  <si>
    <t>Harts Pk-8</t>
  </si>
  <si>
    <t>Herndon Cons Elementary &amp; Middle School</t>
  </si>
  <si>
    <t>Hinton Area Elementary</t>
  </si>
  <si>
    <t>Hodgesville Elementary</t>
  </si>
  <si>
    <t>Hollywood Elementary</t>
  </si>
  <si>
    <t>Huff Cons Elementary &amp; Middle School</t>
  </si>
  <si>
    <t>Hurricane Middle</t>
  </si>
  <si>
    <t>Hurricane Town Elementary</t>
  </si>
  <si>
    <t>Junior Elementary</t>
  </si>
  <si>
    <t>Kingwood Elementary</t>
  </si>
  <si>
    <t>Lakeside Elementary (Putnam County)</t>
  </si>
  <si>
    <t>Lakewood Elementary School (Kanawha County)</t>
  </si>
  <si>
    <t>Leading Creek Elementary</t>
  </si>
  <si>
    <t>Lewisburg Elementary</t>
  </si>
  <si>
    <t>Mabscott Elementary</t>
  </si>
  <si>
    <t>Madison Elementary (Boone County)</t>
  </si>
  <si>
    <t>Marsh Fork Elementary</t>
  </si>
  <si>
    <t>Mary C. Snow West Side Elementary</t>
  </si>
  <si>
    <t>Maxwell Hill Elementary</t>
  </si>
  <si>
    <t>Mckinley Elementary School</t>
  </si>
  <si>
    <t>Mckinley Middle School</t>
  </si>
  <si>
    <t>Meadow Bridge Elementary (Fayette County)</t>
  </si>
  <si>
    <t>Meadow Bridge High</t>
  </si>
  <si>
    <t>Meadows Elementary School (Cabell County)</t>
  </si>
  <si>
    <t>Mercer Elementary</t>
  </si>
  <si>
    <t>Midland Trail High</t>
  </si>
  <si>
    <t>Moorefield Intermediate School</t>
  </si>
  <si>
    <t>Mount Hope Elementary</t>
  </si>
  <si>
    <t>Mountainview Elementary School (Monongalia County)</t>
  </si>
  <si>
    <t>Mt Lookout Elementary School</t>
  </si>
  <si>
    <t>Mt Nebo Elementary School</t>
  </si>
  <si>
    <t>New River Elementary</t>
  </si>
  <si>
    <t>North Jefferson Elementary</t>
  </si>
  <si>
    <t>Nutter Fort Intermediate School</t>
  </si>
  <si>
    <t>Oak Hill High</t>
  </si>
  <si>
    <t>Omar Elementary</t>
  </si>
  <si>
    <t>Pickens Elementary/High School</t>
  </si>
  <si>
    <t>Pleasant Valley Elementary School (Marion County)</t>
  </si>
  <si>
    <t>Pleasant View Elementary School (Morgan County)</t>
  </si>
  <si>
    <t>Poca Elementary</t>
  </si>
  <si>
    <t>Rainelle Elementary</t>
  </si>
  <si>
    <t>Ramage Elementary</t>
  </si>
  <si>
    <t>Ranger Elementary</t>
  </si>
  <si>
    <t>Ritchie County Middle</t>
  </si>
  <si>
    <t>Roane County High</t>
  </si>
  <si>
    <t>Robert C Byrd High School</t>
  </si>
  <si>
    <t>Rock Branch Elementary (Putnam County)</t>
  </si>
  <si>
    <t>Rock Cave Elementary (Upshur County)</t>
  </si>
  <si>
    <t>Ronceverte Elementary</t>
  </si>
  <si>
    <t>Rosedale Elementary (Fayette County)</t>
  </si>
  <si>
    <t>Rosemont Elementary School (Berkeley County)</t>
  </si>
  <si>
    <t>Rupert Elementary</t>
  </si>
  <si>
    <t>Salem Elementary</t>
  </si>
  <si>
    <t>Scott Teays Elementary</t>
  </si>
  <si>
    <t>Shady Spring Elementary</t>
  </si>
  <si>
    <t>Shady Spring High</t>
  </si>
  <si>
    <t>Smithville Elementary</t>
  </si>
  <si>
    <t>Smoot Elementary</t>
  </si>
  <si>
    <t>Southside Elementary (Cabell County)</t>
  </si>
  <si>
    <t>Southside K-8 (McDowell County)</t>
  </si>
  <si>
    <t>Spanishburg</t>
  </si>
  <si>
    <t>Spring Mills High School</t>
  </si>
  <si>
    <t>St. Marys Elementary School</t>
  </si>
  <si>
    <t>St. Marys High School</t>
  </si>
  <si>
    <t>Stanaford Elementary School (Raleigh County)</t>
  </si>
  <si>
    <t>Steenrod Elementary School (Ohio County)</t>
  </si>
  <si>
    <t>Straley Elementary School</t>
  </si>
  <si>
    <t>Stratton Elementary</t>
  </si>
  <si>
    <t>Suncrest Elementary School</t>
  </si>
  <si>
    <t>T A Lowery Elementary School</t>
  </si>
  <si>
    <t>Tennerton Elementary</t>
  </si>
  <si>
    <t>Tucker Valley Elementary Middle School</t>
  </si>
  <si>
    <t>Union Educational Complex (Grant County)</t>
  </si>
  <si>
    <t>Union Elementary School (Upshur County)</t>
  </si>
  <si>
    <t>Valley Elementary</t>
  </si>
  <si>
    <t>Van Elementary</t>
  </si>
  <si>
    <t>Washington District Elementary (Upshur County)</t>
  </si>
  <si>
    <t>Washington Lands Elementary School (Marshall County)</t>
  </si>
  <si>
    <t>Weirton Elementary</t>
  </si>
  <si>
    <t>West Hamlin Elementary</t>
  </si>
  <si>
    <t>West Preston School</t>
  </si>
  <si>
    <t>West Teays Elementary</t>
  </si>
  <si>
    <t>White Sulphur Elementary</t>
  </si>
  <si>
    <t>Williamstown Elementary School (Wood County)</t>
  </si>
  <si>
    <t>Winfield Elementary</t>
  </si>
  <si>
    <t>Support Services Provided and/or Coordinated by a Non-Profit or by a Public Housing Authority or by a Governmental or Quasi-Governmental Entity (Points Available: 3)</t>
  </si>
  <si>
    <t>Post-construction, a Non-Profit or Public Housing Authority or Governmental or Quasi-Governmental Entity will provide appropriate support services to the residents of the property:</t>
  </si>
  <si>
    <t>Properties which commit to Preference for Properties Obligated to Serving Qualified Tenants for the Longest Periods of Time are not eligible for these points.</t>
  </si>
  <si>
    <t>Properties which have established or will establish site control in the form of a Long-Term Lease, as opposed to a recorded deed, are not eligible for these points.</t>
  </si>
  <si>
    <t>The property will be constructed or rehabilitated, as applicable, in compliance with the 2010 Standards of the Americans with Disabilities Act of 1990, Section 504 of the Rehabilitation Act of 1973, the Fair Housing Act of 1968, the Architectural Barriers Act of 1968,  and the current State Building Code; Life Safety Code and the West Virginia State Fire Commission Standards; local building code (if any exists for the local jurisdiction within which the buildings in the property are or will be located); local zoning and/or land use regulations or restrictions, if any; local floodplain ordinance, if any; and EPA NPDES Permit and State DEP Water Quality Requirements:</t>
  </si>
  <si>
    <t>Energy Star Certified Whole-Unit HVAC (Points Available: 15)</t>
  </si>
  <si>
    <t>In conjunction with the construction or rehabilitation, each residential rental unit will incorporate new Energy Star certified whole-unit heating, ventilation, and air conditioning, utilizing a heat pump or a split gas heating and cooling system:</t>
  </si>
  <si>
    <t>Energy Star Certified Appliances (Points Available: 15)</t>
  </si>
  <si>
    <t>In conjunction with the construction or rehabilitation, each residential rental unit will provide a new Energy Star certified refrigerator, a new Energy Star certified under-the-counter dishwasher, and a new Energy Star certified water heater (or an electric water heater with a minimum energy factor of 0.95 provided within each residential rental unit, a central Energy Star certified water heating system, or a central water heating system with a minimum energy factor of 0.95):</t>
  </si>
  <si>
    <r>
      <t xml:space="preserve">[If a. above is TRUE] </t>
    </r>
    <r>
      <rPr>
        <b/>
        <u/>
        <sz val="10"/>
        <rFont val="Calibri"/>
        <family val="2"/>
        <scheme val="minor"/>
      </rPr>
      <t>For Existing Housing Properties only</t>
    </r>
    <r>
      <rPr>
        <b/>
        <sz val="10"/>
        <rFont val="Calibri"/>
        <family val="2"/>
        <scheme val="minor"/>
      </rPr>
      <t xml:space="preserve">: The Fund is being requested to consider Energy Star certified appliances which have been newly installed in the previous 24 months and are in like-new condition, </t>
    </r>
    <r>
      <rPr>
        <b/>
        <u/>
        <sz val="10"/>
        <rFont val="Calibri"/>
        <family val="2"/>
        <scheme val="minor"/>
      </rPr>
      <t>BUT</t>
    </r>
    <r>
      <rPr>
        <b/>
        <sz val="10"/>
        <rFont val="Calibri"/>
        <family val="2"/>
        <scheme val="minor"/>
      </rPr>
      <t xml:space="preserve"> the Owner agrees that such appliances will be replaced as prescribed in a. above if the Fund's designated construction professional determines that such replacement is warranted:</t>
    </r>
  </si>
  <si>
    <t>Energy Star Certified Exterior Doors and Windows (Points Available: 15)</t>
  </si>
  <si>
    <r>
      <t>In conjunction with the construction or rehabilitation, all building roofs in the property will be covered by new roofing materials which have a minimum remaining manufacturer warranted life of at least 30 years [</t>
    </r>
    <r>
      <rPr>
        <b/>
        <u/>
        <sz val="10"/>
        <rFont val="Calibri"/>
        <family val="2"/>
        <scheme val="minor"/>
      </rPr>
      <t>for metal roofing, fasteners will be concealed</t>
    </r>
    <r>
      <rPr>
        <b/>
        <sz val="10"/>
        <rFont val="Calibri"/>
        <family val="2"/>
        <scheme val="minor"/>
      </rPr>
      <t>]:</t>
    </r>
  </si>
  <si>
    <t>Energy Star Certified Light Emitting Diode ("LED") Light Fixtures, Ceiling Fans, and Bath Exhaust Fans (Points Available: 15)</t>
  </si>
  <si>
    <r>
      <t xml:space="preserve">[If a. above is TRUE] </t>
    </r>
    <r>
      <rPr>
        <b/>
        <u/>
        <sz val="10"/>
        <rFont val="Calibri"/>
        <family val="2"/>
        <scheme val="minor"/>
      </rPr>
      <t>For existing structures only</t>
    </r>
    <r>
      <rPr>
        <b/>
        <sz val="10"/>
        <rFont val="Calibri"/>
        <family val="2"/>
        <scheme val="minor"/>
      </rPr>
      <t xml:space="preserve">: The Fund is being requested to consider roofs which have been replaced recently and still have a remaining manufacturer warranted life of no less than 25 years, </t>
    </r>
    <r>
      <rPr>
        <b/>
        <u/>
        <sz val="10"/>
        <rFont val="Calibri"/>
        <family val="2"/>
        <scheme val="minor"/>
      </rPr>
      <t>BUT</t>
    </r>
    <r>
      <rPr>
        <b/>
        <sz val="10"/>
        <rFont val="Calibri"/>
        <family val="2"/>
        <scheme val="minor"/>
      </rPr>
      <t xml:space="preserve"> the Owner agrees that such roofs must be replaced as prescribed in b. above if the Fund's designated construction professional determines that such replacement is warranted:</t>
    </r>
  </si>
  <si>
    <t>In conjunction with the construction or rehabilitation, each residential rental unit will provide Energy Star certified ceiling LED light fixtures within all habitable spaces and baths, walk-in closets, halls, utility rooms, and stairs; an Energy Star certified ceiling fan which incorporates an LED light fixture in each bedroom and the living room; and an Energy Star certified exhaust fan which incorporates an LED light fixture in each full bathroom:</t>
  </si>
  <si>
    <t>Thickness and Warranty of Siding and Trim ( Points Available: 15)</t>
  </si>
  <si>
    <t>In conjunction with the construction or rehabilitation, all siding and trim on the exterior of all buildings in the property will have a thickness of 0.044 inches or greater and a lifetime non-prorated or prorated 50-year transferable limited warranty:</t>
  </si>
  <si>
    <r>
      <t xml:space="preserve">[If a. above is TRUE] </t>
    </r>
    <r>
      <rPr>
        <b/>
        <u/>
        <sz val="10"/>
        <rFont val="Calibri"/>
        <family val="2"/>
        <scheme val="minor"/>
      </rPr>
      <t>For existing structures only</t>
    </r>
    <r>
      <rPr>
        <b/>
        <sz val="10"/>
        <rFont val="Calibri"/>
        <family val="2"/>
        <scheme val="minor"/>
      </rPr>
      <t xml:space="preserve">: The Fund is being requested to consider siding and trim which has been replaced recently and still has a remaining manufacturer warranted life of 45 years, </t>
    </r>
    <r>
      <rPr>
        <b/>
        <u/>
        <sz val="10"/>
        <rFont val="Calibri"/>
        <family val="2"/>
        <scheme val="minor"/>
      </rPr>
      <t>BUT</t>
    </r>
    <r>
      <rPr>
        <b/>
        <sz val="10"/>
        <rFont val="Calibri"/>
        <family val="2"/>
        <scheme val="minor"/>
      </rPr>
      <t xml:space="preserve"> the Owner agrees that such siding and trim will be replaced as prescribed in a. above if the Fund's designated construction professional determines that such replacement is warranted:</t>
    </r>
  </si>
  <si>
    <r>
      <t>At least 30% of the post-construction useable (slope of less than 20%) site will provide Reachable Green Space [</t>
    </r>
    <r>
      <rPr>
        <b/>
        <u/>
        <sz val="10"/>
        <rFont val="Calibri"/>
        <family val="2"/>
        <scheme val="minor"/>
      </rPr>
      <t>If TRUE, a post-construction certified survey including a calculation of the Reachable Green Space percentage will be provided that evidences the criterion was met or exceeded</t>
    </r>
    <r>
      <rPr>
        <b/>
        <sz val="10"/>
        <rFont val="Calibri"/>
        <family val="2"/>
        <scheme val="minor"/>
      </rPr>
      <t>]:</t>
    </r>
  </si>
  <si>
    <t>Post-Construction Interior Unit Square Footage</t>
  </si>
  <si>
    <t>Above Scoring Minimums (and for New Construction, Within Maximums)</t>
  </si>
  <si>
    <t>ADREUSE</t>
  </si>
  <si>
    <r>
      <t xml:space="preserve">The property is a multiple building property and, in conjunction with the construction or rehabilitation, the cost for Landscaping per residential rental unit will be at least $350 </t>
    </r>
    <r>
      <rPr>
        <b/>
        <u/>
        <sz val="10"/>
        <rFont val="Calibri"/>
        <family val="2"/>
        <scheme val="minor"/>
      </rPr>
      <t>OR</t>
    </r>
    <r>
      <rPr>
        <b/>
        <sz val="10"/>
        <rFont val="Calibri"/>
        <family val="2"/>
        <scheme val="minor"/>
      </rPr>
      <t xml:space="preserve"> the property is a single building property and in conjunction with the construction or rehabilitation,  the cost for Landscaping per residential rental unit will be at least $175 [</t>
    </r>
    <r>
      <rPr>
        <b/>
        <u/>
        <sz val="10"/>
        <rFont val="Calibri"/>
        <family val="2"/>
        <scheme val="minor"/>
      </rPr>
      <t>In addition, the construction estimate includes a Landscaping line item at an amount at or above the applicable minimum stated.</t>
    </r>
    <r>
      <rPr>
        <b/>
        <sz val="10"/>
        <rFont val="Calibri"/>
        <family val="2"/>
        <scheme val="minor"/>
      </rPr>
      <t>]:</t>
    </r>
  </si>
  <si>
    <t>Fair Housing Act and Americans with Disabilities Act Training (Points Available: 10)</t>
  </si>
  <si>
    <r>
      <t xml:space="preserve">Post-construction, the property will be hard wired for high-speed internet access </t>
    </r>
    <r>
      <rPr>
        <b/>
        <u/>
        <sz val="10"/>
        <rFont val="Calibri"/>
        <family val="2"/>
        <scheme val="minor"/>
      </rPr>
      <t>AND</t>
    </r>
    <r>
      <rPr>
        <b/>
        <sz val="10"/>
        <rFont val="Calibri"/>
        <family val="2"/>
        <scheme val="minor"/>
      </rPr>
      <t xml:space="preserve"> the high-speed internet cable will be wired throughout each residential rental unit and jacks will be installed in one or more central locations and in each bedroom </t>
    </r>
    <r>
      <rPr>
        <b/>
        <u/>
        <sz val="10"/>
        <rFont val="Calibri"/>
        <family val="2"/>
        <scheme val="minor"/>
      </rPr>
      <t>OR</t>
    </r>
    <r>
      <rPr>
        <b/>
        <sz val="10"/>
        <rFont val="Calibri"/>
        <family val="2"/>
        <scheme val="minor"/>
      </rPr>
      <t xml:space="preserve"> the property will provide security-enabled Wi-Fi internet access available to each residential rental unit and in common areas:</t>
    </r>
  </si>
  <si>
    <t>At the time of this application, the property site is occupied by any person or persons living in any form of dwelling (permanent or temporary) or is occupied by a commercial tenant (including storage):</t>
  </si>
  <si>
    <t>HTF Program</t>
  </si>
  <si>
    <t>Identity of interest with the Owner and/or Developer</t>
  </si>
  <si>
    <t>Line Item Amount Remaining Calculation Assist (should be zero):</t>
  </si>
  <si>
    <t>Property Characteristics (Including Existing Housing as Part of a Concerted Community Revitalization Plan)</t>
  </si>
  <si>
    <t>Poverty/Public Assistance - Households Receiving Food Stamps/SNAP as a Percentage of Total Households</t>
  </si>
  <si>
    <t>Woman or Minority Participation in Property Development</t>
  </si>
  <si>
    <t>Woman or Minority Participation in Property Management</t>
  </si>
  <si>
    <t>Support Services Provided and/or Coordinated by a Non-Profit or by a Public Housing Authority or by a Governmental or Quasi-Governmental Entity</t>
  </si>
  <si>
    <t>Preference for Concerted Community Revitalization Properties Located in Qualified Census Tracts</t>
  </si>
  <si>
    <t>Energy Star Certified Whole-Unit HVAC</t>
  </si>
  <si>
    <t>Energy Star Certified Appliances</t>
  </si>
  <si>
    <t>Energy Star Certified Exterior Doors and Windows</t>
  </si>
  <si>
    <t>Energy Star Certified Light Emitting Diode ("LED") Light Fixtures, Ceiling Fans, and Bath Exhaust Fans</t>
  </si>
  <si>
    <t>Thickness and Warranty of Siding and Trim</t>
  </si>
  <si>
    <t>Fair Housing Act and Americans with Disabilities Act Training</t>
  </si>
  <si>
    <t>the cost basis of a building adjusted for capital improvements minus depreciation allowable</t>
  </si>
  <si>
    <t>Eligible Basis</t>
  </si>
  <si>
    <t>a component of the Qualified Basis of an LIHTCP property.  It is generally equal to Adjusted Basis of the building, excluding land but including amenities and common areas.</t>
  </si>
  <si>
    <t>ESOP (employee stock ownership plan)</t>
  </si>
  <si>
    <t>a Code Subsection 401(a) qualified defined contribution plan that is a stock bonus plan or a stock bonus/money purchase plan. An ESOP must be designed to invest primarily in qualifying employer securities as defined by Code Subsection 4975(e)(8) and meet certain requirements of the Code and regulations</t>
  </si>
  <si>
    <t>Non-Profit</t>
  </si>
  <si>
    <t>Qualified Basis</t>
  </si>
  <si>
    <t>the base that is multiplied by the credit percentage to determine the annual Credit.  The Qualified Basis equals the applicable fraction times the Eligible Basis.</t>
  </si>
  <si>
    <t>an area or areas of grass, Landscaping, or other vegetation which (post-construction) will be reasonably reachable by the tenants of the property (e.g., green space at the bottom of an unusable (slope of 20% or greater) hill, which cannot be accessed by any other reasonable route, will not count as green space).  It does not include buildings, porches, sidewalks, curbs, or parking areas, etc.  The Fund also consider playgrounds and other outdoor community/activity space amenities as green space.</t>
  </si>
  <si>
    <t>Total Permanent Financing</t>
  </si>
  <si>
    <t>&gt; half the thickness of demising/party walls between a unit and adjacent units</t>
  </si>
  <si>
    <t>Water Heating</t>
  </si>
  <si>
    <t>Other Electric</t>
  </si>
  <si>
    <t>Relocation Plan. Submit a detailed relocation plan describing the way the temporary and permanent displacements of tenants will be handled (for permanent displacements, include with the plan a comparison of the current rents being charged and the proposed rents for the project). The plan should answer the following questions:</t>
  </si>
  <si>
    <t>1.</t>
  </si>
  <si>
    <t>Which tenants may be affected and to what degree?</t>
  </si>
  <si>
    <r>
      <t>·</t>
    </r>
    <r>
      <rPr>
        <sz val="10"/>
        <rFont val="Times New Roman"/>
        <family val="1"/>
      </rPr>
      <t xml:space="preserve">         </t>
    </r>
    <r>
      <rPr>
        <sz val="10"/>
        <rFont val="Calibri"/>
        <family val="2"/>
      </rPr>
      <t>Circumstances under which the displacement is necessary.</t>
    </r>
  </si>
  <si>
    <r>
      <t>·</t>
    </r>
    <r>
      <rPr>
        <sz val="10"/>
        <rFont val="Times New Roman"/>
        <family val="1"/>
      </rPr>
      <t xml:space="preserve">         </t>
    </r>
    <r>
      <rPr>
        <sz val="10"/>
        <rFont val="Calibri"/>
        <family val="2"/>
      </rPr>
      <t>Total number of households in the property and number to be temporarily or permanently displaced.</t>
    </r>
  </si>
  <si>
    <t>Who will gather household data; prepare relocation notices, process payments, etc.?</t>
  </si>
  <si>
    <t>2.</t>
  </si>
  <si>
    <t>Description of households to be displace.</t>
  </si>
  <si>
    <t>3.</t>
  </si>
  <si>
    <r>
      <t>·</t>
    </r>
    <r>
      <rPr>
        <sz val="10"/>
        <rFont val="Times New Roman"/>
        <family val="1"/>
      </rPr>
      <t xml:space="preserve">         </t>
    </r>
    <r>
      <rPr>
        <sz val="10"/>
        <rFont val="Calibri"/>
        <family val="2"/>
      </rPr>
      <t>What are the income and household characteristics (family size, ages, etc.) of the occupants?</t>
    </r>
  </si>
  <si>
    <t>When do the units need to be vacated, and when will they be ready for re-occupancy?</t>
  </si>
  <si>
    <t>4.</t>
  </si>
  <si>
    <r>
      <t>·</t>
    </r>
    <r>
      <rPr>
        <sz val="10"/>
        <rFont val="Times New Roman"/>
        <family val="1"/>
      </rPr>
      <t xml:space="preserve">         </t>
    </r>
    <r>
      <rPr>
        <sz val="10"/>
        <rFont val="Calibri"/>
        <family val="2"/>
      </rPr>
      <t>Procedures/methods by which those being displaced will be advised of their rights and available assistance.</t>
    </r>
  </si>
  <si>
    <t>Where are the temporary and/or permanent replacement units located, and how will tenants secure temporary housing?</t>
  </si>
  <si>
    <t>5.</t>
  </si>
  <si>
    <t>6.</t>
  </si>
  <si>
    <t>How much will this cost?  Relocation Budget.</t>
  </si>
  <si>
    <r>
      <t>·</t>
    </r>
    <r>
      <rPr>
        <sz val="10"/>
        <rFont val="Times New Roman"/>
        <family val="1"/>
      </rPr>
      <t xml:space="preserve">         </t>
    </r>
    <r>
      <rPr>
        <sz val="10"/>
        <rFont val="Calibri"/>
        <family val="2"/>
      </rPr>
      <t>Source(s) of funds to be used for relocation assistance.</t>
    </r>
  </si>
  <si>
    <r>
      <t>·</t>
    </r>
    <r>
      <rPr>
        <sz val="10"/>
        <rFont val="Times New Roman"/>
        <family val="1"/>
      </rPr>
      <t xml:space="preserve">         </t>
    </r>
    <r>
      <rPr>
        <sz val="10"/>
        <rFont val="Calibri"/>
        <family val="2"/>
      </rPr>
      <t>Description of assistance to be provided and a schedule for assistance.</t>
    </r>
  </si>
  <si>
    <t>If property includes a business that must be moved, follow guidelines noted in CPD 14- 09.</t>
  </si>
  <si>
    <t>7.</t>
  </si>
  <si>
    <t>MBE - Minority Business Enterprise; WBE - Woman Business Enterprise</t>
  </si>
  <si>
    <t>Entity is an MBE or WBE:</t>
  </si>
  <si>
    <t>Relocation Consultant (if applicable)</t>
  </si>
  <si>
    <t>Q.</t>
  </si>
  <si>
    <t>Title</t>
  </si>
  <si>
    <r>
      <rPr>
        <b/>
        <i/>
        <u/>
        <sz val="10"/>
        <rFont val="Calibri"/>
        <family val="2"/>
        <scheme val="minor"/>
      </rPr>
      <t>The Property Contractor is the person who holds the contractor's license or the contractor's authorized representative who is responsible for oversight of the construction or rehabilitation of the property</t>
    </r>
    <r>
      <rPr>
        <b/>
        <i/>
        <sz val="10"/>
        <rFont val="Calibri"/>
        <family val="2"/>
        <scheme val="minor"/>
      </rPr>
      <t>.</t>
    </r>
  </si>
  <si>
    <r>
      <rPr>
        <b/>
        <i/>
        <u/>
        <sz val="10"/>
        <rFont val="Calibri"/>
        <family val="2"/>
        <scheme val="minor"/>
      </rPr>
      <t>The Property Architect is the architect of record whose seal is stamped on the property plans and specifications</t>
    </r>
    <r>
      <rPr>
        <b/>
        <i/>
        <sz val="10"/>
        <rFont val="Calibri"/>
        <family val="2"/>
        <scheme val="minor"/>
      </rPr>
      <t>.</t>
    </r>
  </si>
  <si>
    <t>Property Architect Name - MUST TYPE IN EXCEL - DO NOT WRITE IN NAME</t>
  </si>
  <si>
    <t>Property Contractor Name - MUST TYPE IN EXCEL - DO NOT WRITE IN NAME</t>
  </si>
  <si>
    <t xml:space="preserve">A document will not be considered a CRP if it was not initially approved at least six months prior to the date of the submission of the property’s Reservation Request, or if an approved CRP’s development did not begin at least six months prior to the date of the submission of the property’s Reservation Request, or the Fund determines, in its sole discretion, that the document is a “single property” narrowly focused document, or that the document was approved solely for the awarding of such points.  </t>
  </si>
  <si>
    <t>LESS: SOFT SOURCES OF FUNDS (IF APPLICABLE)</t>
  </si>
  <si>
    <t>HTF &amp; LIHTC</t>
  </si>
  <si>
    <t>of Baths</t>
  </si>
  <si>
    <t>Less:  Deferred Developer Fee Payment (based upon terms provided in section XIV.B.)</t>
  </si>
  <si>
    <t>agrees that property information may be shared with the Fund's partners and other funding sources for the property;</t>
  </si>
  <si>
    <t>XXXX</t>
  </si>
  <si>
    <r>
      <t xml:space="preserve">In completing this form, a Reservation Request or a Carryover Allocation Request may contain estimated and anticipated information.  </t>
    </r>
    <r>
      <rPr>
        <b/>
        <u/>
        <sz val="10"/>
        <rFont val="Calibri"/>
        <family val="2"/>
        <scheme val="minor"/>
      </rPr>
      <t>However</t>
    </r>
    <r>
      <rPr>
        <b/>
        <sz val="10"/>
        <rFont val="Calibri"/>
        <family val="2"/>
        <scheme val="minor"/>
      </rPr>
      <t xml:space="preserve"> an Allocation Request must contain actual, final information.  Any reference to general partner in this form also includes managing member and member owners for limited liability companies.  </t>
    </r>
    <r>
      <rPr>
        <b/>
        <u/>
        <sz val="10"/>
        <rFont val="Calibri"/>
        <family val="2"/>
        <scheme val="minor"/>
      </rPr>
      <t>For your convenience, a Definitions tab has been added toward the end of this Excel spreadsheet, after the LIHTCP Self-Scoring Tally Sheet</t>
    </r>
    <r>
      <rPr>
        <b/>
        <sz val="10"/>
        <rFont val="Calibri"/>
        <family val="2"/>
        <scheme val="minor"/>
      </rPr>
      <t>.</t>
    </r>
  </si>
  <si>
    <t>HUD Utility Schedule Model (Include HUD Utility Schedule calculation page as backup)</t>
  </si>
  <si>
    <r>
      <t xml:space="preserve">The Unit Size, Number of Units, and LIHTCP Rent Target are generated from information entered on page 2.  </t>
    </r>
    <r>
      <rPr>
        <b/>
        <u/>
        <sz val="10"/>
        <rFont val="Calibri"/>
        <family val="2"/>
        <scheme val="minor"/>
      </rPr>
      <t>Be certain to separate the units as needed on page 2 to fulfill all applicable Rent Restrictions</t>
    </r>
    <r>
      <rPr>
        <b/>
        <sz val="10"/>
        <rFont val="Calibri"/>
        <family val="2"/>
        <scheme val="minor"/>
      </rPr>
      <t xml:space="preserve">. </t>
    </r>
  </si>
  <si>
    <r>
      <t>Contact applicable financing program staff for the appropriate number of units and the unit type breakdown required</t>
    </r>
    <r>
      <rPr>
        <b/>
        <sz val="10"/>
        <rFont val="Calibri"/>
        <family val="2"/>
        <scheme val="minor"/>
      </rPr>
      <t>.</t>
    </r>
  </si>
  <si>
    <t>Construction Insurance</t>
  </si>
  <si>
    <t>(This definition only a+A1:B52s applies to the Type of Financing, RD or HUD Financing or Guarantee scoring criterion and the Type of Financing, Favorable Financing scoring criterion) the total of all sources of funds listed in the Sources of Funds – Permanent Financing section on page 8 of WVHDF Form 1040 with the exception of deferred developer fee, existing replacement reserves, federal historic tax credit equity, state historic tax credit equity, General Partner equity, and low-income housing tax credit equity</t>
  </si>
  <si>
    <t>Average DSCR over ___ Years</t>
  </si>
  <si>
    <t>Debt Service Coverage Ratio</t>
  </si>
  <si>
    <t>Cumulative Cash Flow (After DDF Repayment)</t>
  </si>
  <si>
    <t>Cash Flow per Residential Rental Unit</t>
  </si>
  <si>
    <t>Predevelopment Costs</t>
  </si>
  <si>
    <t>Acquisition Costs</t>
  </si>
  <si>
    <t>Construction Costs</t>
  </si>
  <si>
    <t>Soft &amp; Carrying Costs</t>
  </si>
  <si>
    <t>If A. above is FALSE, the buildings in the property are not eligible for acquisition credit.</t>
  </si>
  <si>
    <t>The property does not include acquisition of existing buildings:</t>
  </si>
  <si>
    <r>
      <t xml:space="preserve">Sections A, B, And C are not applicable to the property for the following reason (If not applicable, </t>
    </r>
    <r>
      <rPr>
        <b/>
        <u/>
        <sz val="10"/>
        <rFont val="Calibri"/>
        <family val="2"/>
        <scheme val="minor"/>
      </rPr>
      <t>continue with Section XXIV.D.</t>
    </r>
    <r>
      <rPr>
        <b/>
        <sz val="10"/>
        <rFont val="Calibri"/>
        <family val="2"/>
        <scheme val="minor"/>
      </rPr>
      <t>):</t>
    </r>
  </si>
  <si>
    <t>The existing buildings in the property were acquired by a governmental unit or qualified non-profit organization; the Ten Year Requirement, determined in accordance with B.1. through B.3. above, was met with respect to that transfer; and all income from such property is exempt from Federal income taxes.</t>
  </si>
  <si>
    <t>The existing buildings in the property were acquired through foreclosure (or by instrument in lieu of foreclosure) of any purchase-money security interest held by the acquiring person; the Ten Year Requirement, determined in accordance with B.1. through B.3. above, was met with respect to that transfer; such buildings were resold within 12 months after the date such buildings were placed in service after such foreclosure.</t>
  </si>
  <si>
    <r>
      <t xml:space="preserve">This page is not applicable to the property for the following reason (If not applicable, </t>
    </r>
    <r>
      <rPr>
        <b/>
        <u/>
        <sz val="10"/>
        <rFont val="Calibri"/>
        <family val="2"/>
        <scheme val="minor"/>
      </rPr>
      <t>continue with Section XXV</t>
    </r>
    <r>
      <rPr>
        <b/>
        <sz val="10"/>
        <rFont val="Calibri"/>
        <family val="2"/>
        <scheme val="minor"/>
      </rPr>
      <t>):</t>
    </r>
  </si>
  <si>
    <r>
      <t xml:space="preserve">This section is not applicable to the property for the following reason (If not applicable, </t>
    </r>
    <r>
      <rPr>
        <b/>
        <u/>
        <sz val="10"/>
        <rFont val="Calibri"/>
        <family val="2"/>
        <scheme val="minor"/>
      </rPr>
      <t>continue with Section XXIV.C.</t>
    </r>
    <r>
      <rPr>
        <b/>
        <sz val="10"/>
        <rFont val="Calibri"/>
        <family val="2"/>
        <scheme val="minor"/>
      </rPr>
      <t>):</t>
    </r>
  </si>
  <si>
    <t>Site Size in S.F.</t>
  </si>
  <si>
    <t>For new townhouse units, Square Footage of Interior Stairs</t>
  </si>
  <si>
    <t>Post-Construction Interior Unit Square Footage (For new townhouses units, exclude Square Footage of Interior Stairs)</t>
  </si>
  <si>
    <t>At the time of the initial application (Reservation Request), the Applicant has formally accepted in writing a syndicator's written offer/proposal to perform as the syndicator for the property, and such written offer/proposal includes (1) the annual Credit amount, (2) the percentage of Credits syndicated, (3) the total equity contribution, and (4) the pay-in schedule:</t>
  </si>
  <si>
    <t>RD or HUD Financing or Guarantee/Insurance (Points Available: 20)</t>
  </si>
  <si>
    <r>
      <t xml:space="preserve">The property will preserve existing RD or HUD low-income residential rental units previously financed or guaranteed/insured through any RD or HUD finance or guarantee/insurance program </t>
    </r>
    <r>
      <rPr>
        <b/>
        <u/>
        <sz val="10"/>
        <rFont val="Calibri"/>
        <family val="2"/>
        <scheme val="minor"/>
      </rPr>
      <t>OR</t>
    </r>
    <r>
      <rPr>
        <b/>
        <sz val="10"/>
        <rFont val="Calibri"/>
        <family val="2"/>
        <scheme val="minor"/>
      </rPr>
      <t xml:space="preserve"> the property will provide a new supply of RD or HUD low-income residential rental units financed or guaranteed/insured through any RD or HUD finance or guarantee/insurance program:</t>
    </r>
  </si>
  <si>
    <t>Expiring LIHTCP Extended Use Period (MaximumPoints Available: 0 for New Supply or 10 for Existing Low-Income Housing)</t>
  </si>
  <si>
    <t>The property has an an Extended Use Period which will expire in two years or less (measured from the property's Reservation Request due date):</t>
  </si>
  <si>
    <t>The property has an an Extended Use Period which will expire in three to five years (measured from the property's Reservation Request due date):</t>
  </si>
  <si>
    <t>The property will be financed with construction and permanent financing as outlined in the Favorable Financing section of the Plan (pages 23 through 25):</t>
  </si>
  <si>
    <t>At the time of the initial application (Reservation Request), the Ownership Entity has received written conditional permanent financing commitments or letters of intent from all intended sources of permanent financing (page 8, item XIV.B.1.-12.), including developer-provided financing (deferred Developer's Fee) for all amounts of permanent financing, except for permanent financing being requested of the Fund (e.g. Multi-Family with or without an RD 538 or HUD/FHA guarantee/insurance, HOME Program, HTF, etc.) (page 8, item XIV.B.7.-11.):</t>
  </si>
  <si>
    <t>Developer Experience in the LIHTCP (Maximum Points Available: 25)</t>
  </si>
  <si>
    <t>Developer's and General Partner's Post-2008 Timely Delivery of Units in West Virginia (Maximum Points Available: 20)</t>
  </si>
  <si>
    <t>The Principals of the developer and/or the General Partner have timely delivered at least one post-2008 property in West Virginia:</t>
  </si>
  <si>
    <r>
      <t xml:space="preserve">[If a. above is TRUE] EACH developer/co-developer </t>
    </r>
    <r>
      <rPr>
        <b/>
        <u/>
        <sz val="10"/>
        <rFont val="Calibri"/>
        <family val="2"/>
        <scheme val="minor"/>
      </rPr>
      <t>and</t>
    </r>
    <r>
      <rPr>
        <b/>
        <sz val="10"/>
        <rFont val="Calibri"/>
        <family val="2"/>
        <scheme val="minor"/>
      </rPr>
      <t xml:space="preserve"> EACH General Partner/co-General Partner have timely delivered at least one post-2008 property in West Virginia:</t>
    </r>
  </si>
  <si>
    <t>[If a. above is TRUE] Number of post-2008 timely-delivered properties in West Virginia:</t>
  </si>
  <si>
    <r>
      <rPr>
        <b/>
        <u/>
        <sz val="10"/>
        <rFont val="Calibri"/>
        <family val="2"/>
        <scheme val="minor"/>
      </rPr>
      <t>Regardless of the answer to a. above</t>
    </r>
    <r>
      <rPr>
        <b/>
        <sz val="10"/>
        <rFont val="Calibri"/>
        <family val="2"/>
        <scheme val="minor"/>
      </rPr>
      <t>, list all states (including West Virginia) in which the General Partner (including underlying Principals) owns, in whole or in part, LIHTCP properties, that have been placed in service for a year or more from the measurement date, as provided in a. above):</t>
    </r>
  </si>
  <si>
    <t>Participation in the Most Recent Fund Application Workshop (Maximum Points Available: 25)</t>
  </si>
  <si>
    <t>Employee Name:</t>
  </si>
  <si>
    <r>
      <t xml:space="preserve">An employee </t>
    </r>
    <r>
      <rPr>
        <b/>
        <u/>
        <sz val="10"/>
        <rFont val="Calibri"/>
        <family val="2"/>
        <scheme val="minor"/>
      </rPr>
      <t>on the payroll of the developer</t>
    </r>
    <r>
      <rPr>
        <b/>
        <sz val="10"/>
        <rFont val="Calibri"/>
        <family val="2"/>
        <scheme val="minor"/>
      </rPr>
      <t xml:space="preserve"> (who is predominantly employed in development) or an additional Principal attended </t>
    </r>
    <r>
      <rPr>
        <b/>
        <u/>
        <sz val="10"/>
        <rFont val="Calibri"/>
        <family val="2"/>
        <scheme val="minor"/>
      </rPr>
      <t>all</t>
    </r>
    <r>
      <rPr>
        <b/>
        <sz val="10"/>
        <rFont val="Calibri"/>
        <family val="2"/>
        <scheme val="minor"/>
      </rPr>
      <t xml:space="preserve"> sessions of the most recent Fund LIHTCP Application Workshop:</t>
    </r>
  </si>
  <si>
    <r>
      <t xml:space="preserve">[If an </t>
    </r>
    <r>
      <rPr>
        <b/>
        <u/>
        <sz val="10"/>
        <rFont val="Calibri"/>
        <family val="2"/>
        <scheme val="minor"/>
      </rPr>
      <t>employee's</t>
    </r>
    <r>
      <rPr>
        <b/>
        <sz val="10"/>
        <rFont val="Calibri"/>
        <family val="2"/>
        <scheme val="minor"/>
      </rPr>
      <t xml:space="preserve"> attendance is being claimed under b. above] List the following information for the employee of the developer claimed:</t>
    </r>
  </si>
  <si>
    <t>Property Location and Housing Needs Characteristics (Maximum Points Available: 200 for New Supply or 100 for Existing Low-Income Housing)</t>
  </si>
  <si>
    <t>LIHTCP Unit Production as a Percentage of the Renter-Occupied Housing Units (Maximum Points Available: 30 for New Supply or 15 for Existing Low-Income Housing)</t>
  </si>
  <si>
    <t>Brooke Intermediate School North</t>
  </si>
  <si>
    <t>Brooke Intermediate School South</t>
  </si>
  <si>
    <t>Brooke Middle School</t>
  </si>
  <si>
    <t>Brookhaven Elementary School (Monongalia County)</t>
  </si>
  <si>
    <t>Brookview Elementary (Boone County)</t>
  </si>
  <si>
    <t>Central City Elementary School (Cabell County)</t>
  </si>
  <si>
    <t>Chapmanville Intermediate School</t>
  </si>
  <si>
    <t>Clay-Battelle High School (Monongalia County)</t>
  </si>
  <si>
    <t>Coal City Elementary (Raleigh County)</t>
  </si>
  <si>
    <t>Coalton Elementary School (Randolph County)</t>
  </si>
  <si>
    <t>Davis Creek Elementary School (Cabell County)</t>
  </si>
  <si>
    <t>Davis Elementary School (Braxton County)</t>
  </si>
  <si>
    <t>Eastbrook Elementary School (Putnam County)</t>
  </si>
  <si>
    <t>Eastwood Elementary School (Monongalia County)</t>
  </si>
  <si>
    <t>Gilbert Pk8</t>
  </si>
  <si>
    <t>Gilmore Elementary School (Jackson County)</t>
  </si>
  <si>
    <t>Glen Dale Elementary School (Marshall County)</t>
  </si>
  <si>
    <t>Glen Fork Elementary &amp; Middle School (Wyoming County)</t>
  </si>
  <si>
    <t>Hometown Elementary</t>
  </si>
  <si>
    <t>Kermit Pre K8</t>
  </si>
  <si>
    <t>Lenore Pk8 School</t>
  </si>
  <si>
    <t>Mason-Dixon Elementary</t>
  </si>
  <si>
    <t>Matewan Pk8</t>
  </si>
  <si>
    <t>Point Pleasant Intermediate</t>
  </si>
  <si>
    <t>Ridgedale Elementary School (Monongalia County)</t>
  </si>
  <si>
    <t>Ridgeview Elementary (Raleigh County)</t>
  </si>
  <si>
    <t>Springfield-Green Spring Elementary Sch</t>
  </si>
  <si>
    <t>Village Of Barboursville Elementary Sch</t>
  </si>
  <si>
    <t>Williamson Pk8 (Mingo County)</t>
  </si>
  <si>
    <t>a)</t>
  </si>
  <si>
    <t>b)</t>
  </si>
  <si>
    <t>c)</t>
  </si>
  <si>
    <t>School Performance and Proximity to Senior Amenities</t>
  </si>
  <si>
    <t>The property is an "elderly property" AND is located within 1/5th of a mile from amenities for the senior population, including health and retail establishments, home health agencies, senior citizen activity centers, public recreational facilities with activites offered sepcifically to the senior population, and/or hospitals:</t>
  </si>
  <si>
    <t>An “elderly property” is defined as a property which (1) has or will have 80% of its units occupied by a head of household 55 years of age or older or (2) has or will have 100% of its units occupied by a head of household age 62 or older.</t>
  </si>
  <si>
    <t>The property involves the rehabilitation of Certified Historic Structures:</t>
  </si>
  <si>
    <t>[If 1., 2., and 3. above are TRUE] At least 50% of the residential rental units in the property are contained in such Certified Historic Structures:</t>
  </si>
  <si>
    <t>Preference for Concerted Community Revitalization Properties Located in Qualified Census Tracts (Points Available: 40)</t>
  </si>
  <si>
    <t>Energy Efficiency and Quality of Housing (Maximum Points Available: 195 for New Supply or 180 for Existing Low-Income Housing)</t>
  </si>
  <si>
    <t>Either the Property Contractor or a Principal of the developer/co-developer has attended (within three years prior to the property's Reservation Request due date) green building training related to residential housing:</t>
  </si>
  <si>
    <t>Total Size of Site (from 9.a. above)</t>
  </si>
  <si>
    <t>Percentage of Reachable Green Space [9.f./(9.b.-9.d.-9.e.)]</t>
  </si>
  <si>
    <t>Laundry Closet with Washer and Dryer or Hookup Only (Maximum Points Available: 10)</t>
  </si>
  <si>
    <r>
      <t xml:space="preserve">In conjunction with the construction or rehabilitation, each residential rental unit will provide a laundry closet containing a new washer and a new dryer, without any additional charge to the tenant </t>
    </r>
    <r>
      <rPr>
        <b/>
        <u/>
        <sz val="10"/>
        <rFont val="Calibri"/>
        <family val="2"/>
        <scheme val="minor"/>
      </rPr>
      <t>OR for Existing Housing Only</t>
    </r>
    <r>
      <rPr>
        <b/>
        <sz val="10"/>
        <rFont val="Calibri"/>
        <family val="2"/>
        <scheme val="minor"/>
      </rPr>
      <t>, in conjunction with the rehabilitation, the property will provide a laundry room with new washers and new dryers (such washers and dryers may be coin-operated):</t>
    </r>
  </si>
  <si>
    <t>The Property Architect and Property Contractor have completed (within three years prior to the property's Reservation Request due date) Fair Housing Act and Americans with Disabilities Act  training addressing design and construction requirements:</t>
  </si>
  <si>
    <t>Expiring LIHTCP Extended Use Period</t>
  </si>
  <si>
    <t>Expiring LIHTCP Extended Use Max</t>
  </si>
  <si>
    <t>Developer's and General Partner's Post-2008 Timely Delivery of Units in West Virginia</t>
  </si>
  <si>
    <t>School Performance - Grades Based Upon the 2019 West Virginia Schools Balanced Scorecard</t>
  </si>
  <si>
    <t>Proximity to Senior Amenities</t>
  </si>
  <si>
    <t>Sr Amen. Max</t>
  </si>
  <si>
    <r>
      <t xml:space="preserve">Laundry Closet with Washer and Dryer </t>
    </r>
    <r>
      <rPr>
        <b/>
        <u/>
        <sz val="10"/>
        <rFont val="Calibri"/>
        <family val="2"/>
        <scheme val="minor"/>
      </rPr>
      <t>or</t>
    </r>
    <r>
      <rPr>
        <b/>
        <sz val="10"/>
        <rFont val="Calibri"/>
        <family val="2"/>
        <scheme val="minor"/>
      </rPr>
      <t xml:space="preserve"> Hookup Only</t>
    </r>
  </si>
  <si>
    <t>Qualified Basis of Rehabilitation Expenditures for each Low-Income Unit in the Property (Line 1.a./Line 1.b.) (This amount must be equal to or exceed $7,100.)</t>
  </si>
  <si>
    <t>The "per low-income unit" amount above may increase in 2022 due to the provisions of Subsection 42(e)(3)(D) of the Code.</t>
  </si>
  <si>
    <t>The Fund reserves the right to modify the Multi-Family, HOME Program, and/or HTF financing amounts and terms from those requested above, based upon property underwriting.</t>
  </si>
  <si>
    <t>*** ONLY USE PAGE 10h IF THE APPLICANT IS REQUESTING HOME OR HTF FINANCING ***</t>
  </si>
  <si>
    <t>Property Rents - HOME Program and HTF</t>
  </si>
  <si>
    <t>HOME</t>
  </si>
  <si>
    <r>
      <t xml:space="preserve">HUD </t>
    </r>
    <r>
      <rPr>
        <b/>
        <u/>
        <sz val="10"/>
        <rFont val="Calibri"/>
        <family val="2"/>
        <scheme val="minor"/>
      </rPr>
      <t>Low</t>
    </r>
    <r>
      <rPr>
        <b/>
        <sz val="10"/>
        <rFont val="Calibri"/>
        <family val="2"/>
        <scheme val="minor"/>
      </rPr>
      <t xml:space="preserve"> HOME Income Limits are at or below </t>
    </r>
    <r>
      <rPr>
        <b/>
        <u/>
        <sz val="10"/>
        <rFont val="Calibri"/>
        <family val="2"/>
        <scheme val="minor"/>
      </rPr>
      <t>50% AMI</t>
    </r>
    <r>
      <rPr>
        <b/>
        <sz val="10"/>
        <rFont val="Calibri"/>
        <family val="2"/>
        <scheme val="minor"/>
      </rPr>
      <t>.</t>
    </r>
  </si>
  <si>
    <r>
      <t xml:space="preserve">HUD </t>
    </r>
    <r>
      <rPr>
        <b/>
        <u/>
        <sz val="10"/>
        <rFont val="Calibri"/>
        <family val="2"/>
        <scheme val="minor"/>
      </rPr>
      <t>High</t>
    </r>
    <r>
      <rPr>
        <b/>
        <sz val="10"/>
        <rFont val="Calibri"/>
        <family val="2"/>
        <scheme val="minor"/>
      </rPr>
      <t xml:space="preserve"> HOME Income Limits are at or below </t>
    </r>
    <r>
      <rPr>
        <b/>
        <u/>
        <sz val="10"/>
        <rFont val="Calibri"/>
        <family val="2"/>
        <scheme val="minor"/>
      </rPr>
      <t>60% AMI</t>
    </r>
    <r>
      <rPr>
        <b/>
        <sz val="10"/>
        <rFont val="Calibri"/>
        <family val="2"/>
        <scheme val="minor"/>
      </rPr>
      <t>.</t>
    </r>
  </si>
  <si>
    <t>Limit</t>
  </si>
  <si>
    <t>Rent Limit</t>
  </si>
  <si>
    <t>HUD Fair</t>
  </si>
  <si>
    <t>HUD HTF Income Limits are at or below 30% AMI.  The HTF Income Limits and Rent Limits can be found at the following link:</t>
  </si>
  <si>
    <t>The 50% AMI and 60% AMI HOME Income Limits and Low HOME/High HOME Rent Limits can be found at the following link:</t>
  </si>
  <si>
    <t>Click here for HOME Income Limits and Rent Limits</t>
  </si>
  <si>
    <t>Click here for HTF Income Limits and Rent Limits</t>
  </si>
  <si>
    <t>(Leave Blank if LIHTCP</t>
  </si>
  <si>
    <t>Only or Market Unit)</t>
  </si>
  <si>
    <t>~ Only Complete Applicable Columns ~</t>
  </si>
  <si>
    <t>Syndication of Investment Interests and Tax Credits (Points Available: 25)</t>
  </si>
  <si>
    <r>
      <rPr>
        <b/>
        <u/>
        <sz val="10"/>
        <rFont val="Calibri"/>
        <family val="2"/>
        <scheme val="minor"/>
      </rPr>
      <t>FOR PROPERTIES WHICH ARE NOT ELDERLY PROPERTIES</t>
    </r>
    <r>
      <rPr>
        <b/>
        <sz val="10"/>
        <rFont val="Calibri"/>
        <family val="2"/>
        <scheme val="minor"/>
      </rPr>
      <t>: School Performance - Grades Based Upon the 2019 West Virginia Schools Balanced Scorecard (Maximum Points Available: 20 for New Supply or 10 for Existing Low-Income Housing)</t>
    </r>
  </si>
  <si>
    <t>Size of Reachable Green Space ( 9.b. less 9.c, 9.d., and 9.e)</t>
  </si>
  <si>
    <r>
      <t xml:space="preserve">[If a. above is TRUE] </t>
    </r>
    <r>
      <rPr>
        <b/>
        <u/>
        <sz val="10"/>
        <rFont val="Calibri"/>
        <family val="2"/>
        <scheme val="minor"/>
      </rPr>
      <t>For Existing Housing Properties only</t>
    </r>
    <r>
      <rPr>
        <b/>
        <sz val="10"/>
        <rFont val="Calibri"/>
        <family val="2"/>
        <scheme val="minor"/>
      </rPr>
      <t xml:space="preserve">: The Fund is being requested to consider washers and dryers which have been newly installed in the previous 24 months and are in like-new condition, </t>
    </r>
    <r>
      <rPr>
        <b/>
        <u/>
        <sz val="10"/>
        <rFont val="Calibri"/>
        <family val="2"/>
        <scheme val="minor"/>
      </rPr>
      <t>BUT</t>
    </r>
    <r>
      <rPr>
        <b/>
        <sz val="10"/>
        <rFont val="Calibri"/>
        <family val="2"/>
        <scheme val="minor"/>
      </rPr>
      <t xml:space="preserve"> the Owner agrees that such washers and dryers will be replaced as prescribed in a. above if the Fund's designated construction professional determines that such replacement is warranted:</t>
    </r>
  </si>
  <si>
    <t>The property will be an "elderly property" since either it (1) has or will have 80% of its units occupied by a head of household 55 years of age or older or (2) has or will have 100% of its units occupanied by a head of household age 62 or older:</t>
  </si>
  <si>
    <t>Property Characteristics (Including Existing Housing as Part of a Concerted Community Revitalization Plan) (Maximum Points Available: 120 for New Supply or 235 for Existing Low-Income Housing)</t>
  </si>
  <si>
    <t>Type of Financing (Maximum Points Available: 45 for New Supply or 65 for Existing Low-Income Housing)</t>
  </si>
  <si>
    <t>Ability to Produce a Qualified Low-Income Residential Rental Property  (Maximum Points Available: 165)</t>
  </si>
  <si>
    <t>School Performance and Proximity to Senior Amenities (Maximum Points Available: 20 for New Supply or 10 for Existing Low-Income Housing)</t>
  </si>
  <si>
    <r>
      <rPr>
        <b/>
        <u/>
        <sz val="10"/>
        <rFont val="Calibri"/>
        <family val="2"/>
        <scheme val="minor"/>
      </rPr>
      <t>FOR ELDERLY PROPERTIES</t>
    </r>
    <r>
      <rPr>
        <b/>
        <sz val="10"/>
        <rFont val="Calibri"/>
        <family val="2"/>
        <scheme val="minor"/>
      </rPr>
      <t>: Proximity to Senior Amenities  (Maximum Points Available: 20 for New Supply or 10 for Existing Low-Income Housing)</t>
    </r>
  </si>
  <si>
    <t>Tenant Populations Targeted for Occupancy (Points Available: 20)</t>
  </si>
  <si>
    <t>Reachable Green Space Percentage (Points Available: 15 for New Supply or 0 for Existing Low-Income Housing)</t>
  </si>
  <si>
    <t>Option 1: Tenants with Incomes at or below 40% of the Area Median Gross Income (Maximum Points Available: 50)</t>
  </si>
  <si>
    <t>Option 2: Tenants with Incomes at or below 50% of the Area Median Gross Income (Maximum Points Available: 40)</t>
  </si>
  <si>
    <t>Roofing Materials (Points Available: 15)</t>
  </si>
  <si>
    <t>For additional information, click here for the WVHDF Relocation Handbook</t>
  </si>
  <si>
    <t>Sources 1-6 &amp; 13</t>
  </si>
  <si>
    <t>Certified Historic Structure</t>
  </si>
  <si>
    <t>a structure which is individually listed on the National Register of Historic Places, or a structure that has been determined by the National Park Service to be a “certified historic structure” as evidenced by a fully completed Historic Preservation Certification Application Part 1 – Evaluation of Significance form (currently, U.S. Department of the Interior, National Park Service Form 10-168)</t>
  </si>
  <si>
    <t>a Certified Historic Structure or an architectural resource in a property whose State Historic Preservation Office Section 106 Response letter indicates one or more of the following:</t>
  </si>
  <si>
    <t>Historic- Eligible Structure</t>
  </si>
  <si>
    <t>&gt; the architectural resource is a potentially contributing resource to an historic district</t>
  </si>
  <si>
    <t>&gt; he architectural resource is a contributing resource to an historic district,</t>
  </si>
  <si>
    <t>&gt; the architectural resource is eligible for the National Register of Historic Places,</t>
  </si>
  <si>
    <t>&gt; the property is planning to utilize Historic Rehabilitation Tax Credits in the redevelopment of the architectural resource,</t>
  </si>
  <si>
    <t>Light Emitting Diode ("LED") Light Fixture</t>
  </si>
  <si>
    <t>a light fixture in which LED lamps or LED bulbs are installed</t>
  </si>
  <si>
    <t>any person who owns an interest in a for-profit entity; the directors, managing directors, and officers of an entity which is wholly ESOP-owned; the trustees of a Trust; and the Executive Director and Deputy Director; President and Vice-President; or Chair and Vice-Chair (or comparable officers) of a non-profit organization.  The Fund does not define a Secretary or Treasurer or Board Member as a principal of a non-profit organization</t>
  </si>
  <si>
    <t>RAD</t>
  </si>
  <si>
    <t>Rental Assistance Demonstration Program administered by HUD that allows public housing authorities and owners of other HUD-assisted properties to convert (public housing or other assisted) units from their original sources of HUD financing to project-based Section 8 contracts</t>
  </si>
  <si>
    <t>Trust</t>
  </si>
  <si>
    <t>an arrangement whereby a person (a trustee) holds property as its nominal owner for the good of one or more beneficiaries</t>
  </si>
  <si>
    <t>SHPO</t>
  </si>
  <si>
    <t>State Historic Preservation Office</t>
  </si>
  <si>
    <t>$7,100 Per Low-Income Unit Test (Per Revenue Procedure 2020-45)*</t>
  </si>
  <si>
    <t>[If a. above is FALSE] The property is an "elderly property" AND is located within 5 miles from amenities for the senior population, including health and retail establishments, home health agencies, senior citizen activity centers, public recreational facilities with activites offered sepcifically to the senior population, and/or hospitals:</t>
  </si>
  <si>
    <t>There is woman or minority participation in property development:</t>
  </si>
  <si>
    <t>Post construction, there will be woman or minority participation in property management:</t>
  </si>
  <si>
    <r>
      <t xml:space="preserve">If the answer above is TRUE, </t>
    </r>
    <r>
      <rPr>
        <b/>
        <i/>
        <u/>
        <sz val="10"/>
        <rFont val="Calibri"/>
        <family val="2"/>
        <scheme val="minor"/>
      </rPr>
      <t>and</t>
    </r>
    <r>
      <rPr>
        <b/>
        <i/>
        <sz val="10"/>
        <rFont val="Calibri"/>
        <family val="2"/>
        <scheme val="minor"/>
      </rPr>
      <t xml:space="preserve"> the Applicant is requesting HOME Program, or HTF funds, the Applicant is required to submit a Tenant Relocation Plan (as defined on this page) as well as the information listed to the right of this page.  </t>
    </r>
    <r>
      <rPr>
        <b/>
        <i/>
        <u/>
        <sz val="10"/>
        <rFont val="Calibri"/>
        <family val="2"/>
        <scheme val="minor"/>
      </rPr>
      <t>This applies to all rehabilitation properties, including those which are temporarily relocating tenants within the property</t>
    </r>
    <r>
      <rPr>
        <b/>
        <i/>
        <sz val="10"/>
        <rFont val="Calibri"/>
        <family val="2"/>
        <scheme val="minor"/>
      </rPr>
      <t>.</t>
    </r>
  </si>
  <si>
    <r>
      <rPr>
        <b/>
        <i/>
        <u/>
        <sz val="10"/>
        <rFont val="Calibri"/>
        <family val="2"/>
        <scheme val="minor"/>
      </rPr>
      <t>Note</t>
    </r>
    <r>
      <rPr>
        <b/>
        <i/>
        <sz val="10"/>
        <rFont val="Calibri"/>
        <family val="2"/>
        <scheme val="minor"/>
      </rPr>
      <t>: HOME Program and HTF financing are not available for Single Family Residential Rental units.</t>
    </r>
  </si>
  <si>
    <t>*** COMPLETE THE SECTION BELOW IF THE APPLICANT IS REQUESTING HOME PROGRAM FUNDS ***</t>
  </si>
  <si>
    <t>For properties requesting HOME Program Funds, complete the following statement related to Davis-Bacon Requirements, as applicable:</t>
  </si>
  <si>
    <t>Davis-Bacon and other Federal wage rates and labor rules apply to this property, due to the fact that there are 12 or more HOME-assisted units in the property:</t>
  </si>
  <si>
    <r>
      <t xml:space="preserve">*** ONLY USE PAGE 14a IF THE APPLICANT IS </t>
    </r>
    <r>
      <rPr>
        <b/>
        <u/>
        <sz val="12"/>
        <color rgb="FF3366CC"/>
        <rFont val="Calibri"/>
        <family val="2"/>
        <scheme val="minor"/>
      </rPr>
      <t>REQUESTING FUND-PROVIDED (MULTI-FAMILY, HOME, HTF) FINANCING</t>
    </r>
    <r>
      <rPr>
        <b/>
        <sz val="12"/>
        <color rgb="FF3366CC"/>
        <rFont val="Calibri"/>
        <family val="2"/>
        <scheme val="minor"/>
      </rPr>
      <t xml:space="preserve"> ***</t>
    </r>
  </si>
  <si>
    <t>Due to federally regulated affordability period requirements, properties requesting the points under this scoring criterion cannot request HOME or HTF Funds.</t>
  </si>
  <si>
    <t>[If a. above is TRUE] In conjunction with the construction or rehabilitation, each residential rental unit will provide either a recirculating range hood or a recirculating over-the-range microwave:</t>
  </si>
  <si>
    <t>XXXII.</t>
  </si>
  <si>
    <t>a formal plan which is geographically specific and provides a clear direction for implementation, includes a strategy for obtaining commitments of public and private investment in non-housing infrastructure, amenities, or services beyond the proposed property, demonstrates the need for revitalization, includes planning document elements such as setting goals for outcomes, identifying barriers to implementation, establishing timelines and benchmarks, and identifying community partners, and includes multiple aspects of revitalizing a community which may include, but are not limited to, the following: a description of the geographic scope of the community; existing and/or future land uses; neighborhoods; natural resources; vacant land; historic resources; population and households; housing; transportation; public facilities; infrastructure; economic development; an assessment of the current condition of the community; a description of the plans for overcoming the community’s problems; and a description of the resources that are being devoted to the revitalization effort.</t>
  </si>
  <si>
    <r>
      <t xml:space="preserve">The property's General Partner's (and underlying Principal's) portfolio of completed (has been placed in service for a year or more before the measurement date provided below) LIHTCP properties, </t>
    </r>
    <r>
      <rPr>
        <b/>
        <u/>
        <sz val="10"/>
        <rFont val="Calibri"/>
        <family val="2"/>
        <scheme val="minor"/>
      </rPr>
      <t>as outlined on pages 33 and 34 of the Plan</t>
    </r>
    <r>
      <rPr>
        <b/>
        <sz val="10"/>
        <rFont val="Calibri"/>
        <family val="2"/>
        <scheme val="minor"/>
      </rPr>
      <t>, was 93% or more occupied as of the respective measurement date listed in the Program Calendar, as evidenced by rent rolls for each property:</t>
    </r>
  </si>
  <si>
    <t>Any consultant or consulting entity which will receive 25% or more of the total Developer's Fee is considered by the Fund to be a co-developer and must be listed in this section.  Any other consultant or consulting entity must be listed on page 30.</t>
  </si>
  <si>
    <t>If the property is requesting a High Cost Adjustment, the following three statements must be completed (at least one of the three statements must be TRUE):</t>
  </si>
  <si>
    <t>Requesting HUD Insurance:</t>
  </si>
  <si>
    <t>-OR-</t>
  </si>
  <si>
    <t>RE: Source #7</t>
  </si>
  <si>
    <t>(3-15-21)</t>
  </si>
  <si>
    <t>corrected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</si>
</sst>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
    <numFmt numFmtId="165" formatCode="0.00000000%"/>
    <numFmt numFmtId="166" formatCode="_(&quot;$&quot;* #,##0_);_(&quot;$&quot;* \(#,##0\);_(&quot;$&quot;* &quot;-&quot;??_);_(@_)"/>
    <numFmt numFmtId="167" formatCode="0.0000%"/>
    <numFmt numFmtId="168" formatCode="[$-409]mmmm\ d\,\ yyyy;@"/>
    <numFmt numFmtId="169" formatCode="#,##0.00000"/>
    <numFmt numFmtId="170" formatCode="&quot;$&quot;#,##0.00"/>
    <numFmt numFmtId="171" formatCode="0_);\(0\)"/>
    <numFmt numFmtId="172" formatCode="&quot;$&quot;#,##0.00000000_);\(&quot;$&quot;#,##0.00000000\)"/>
    <numFmt numFmtId="173" formatCode="0.000%"/>
    <numFmt numFmtId="174" formatCode="[&lt;=9999999]###\-####;\(###\)\ ###\-####"/>
    <numFmt numFmtId="175" formatCode="0.00000"/>
    <numFmt numFmtId="176" formatCode="&quot;$&quot;#,##0"/>
    <numFmt numFmtId="177" formatCode="0.000000%"/>
    <numFmt numFmtId="178" formatCode="0.0%"/>
    <numFmt numFmtId="179" formatCode="0.00000%"/>
    <numFmt numFmtId="180" formatCode="###0;###0"/>
    <numFmt numFmtId="181" formatCode="0.00_);\(0.00\)"/>
    <numFmt numFmtId="182" formatCode="mm/dd/yy"/>
  </numFmts>
  <fonts count="84">
    <font>
      <sz val="10"/>
      <name val="Geneva"/>
    </font>
    <font>
      <sz val="11"/>
      <color theme="1"/>
      <name val="Calibri"/>
      <family val="2"/>
      <scheme val="minor"/>
    </font>
    <font>
      <sz val="11"/>
      <color theme="1"/>
      <name val="Calibri"/>
      <family val="2"/>
      <scheme val="minor"/>
    </font>
    <font>
      <sz val="10"/>
      <name val="Geneva"/>
    </font>
    <font>
      <sz val="10"/>
      <name val="Arial"/>
      <family val="2"/>
    </font>
    <font>
      <sz val="9"/>
      <color indexed="81"/>
      <name val="Tahoma"/>
      <family val="2"/>
    </font>
    <font>
      <b/>
      <sz val="9"/>
      <color indexed="81"/>
      <name val="Tahom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scheme val="minor"/>
    </font>
    <font>
      <b/>
      <sz val="10"/>
      <name val="Calibri"/>
      <family val="2"/>
    </font>
    <font>
      <b/>
      <sz val="9"/>
      <name val="Calibri"/>
      <family val="2"/>
      <scheme val="minor"/>
    </font>
    <font>
      <b/>
      <sz val="10"/>
      <name val="Calibri"/>
      <family val="2"/>
      <scheme val="minor"/>
    </font>
    <font>
      <b/>
      <u/>
      <sz val="10"/>
      <name val="Calibri"/>
      <family val="2"/>
      <scheme val="minor"/>
    </font>
    <font>
      <b/>
      <sz val="8"/>
      <name val="Calibri"/>
      <family val="2"/>
      <scheme val="minor"/>
    </font>
    <font>
      <sz val="10"/>
      <name val="Calibri"/>
      <family val="2"/>
      <scheme val="minor"/>
    </font>
    <font>
      <b/>
      <sz val="12"/>
      <color rgb="FFFF0000"/>
      <name val="Calibri"/>
      <family val="2"/>
      <scheme val="minor"/>
    </font>
    <font>
      <b/>
      <u/>
      <sz val="12"/>
      <color rgb="FFFF0000"/>
      <name val="Calibri"/>
      <family val="2"/>
      <scheme val="minor"/>
    </font>
    <font>
      <b/>
      <i/>
      <sz val="8"/>
      <name val="Calibri"/>
      <family val="2"/>
      <scheme val="minor"/>
    </font>
    <font>
      <b/>
      <sz val="7"/>
      <name val="Calibri"/>
      <family val="2"/>
      <scheme val="minor"/>
    </font>
    <font>
      <b/>
      <sz val="10"/>
      <color theme="3"/>
      <name val="Calibri"/>
      <family val="2"/>
      <scheme val="minor"/>
    </font>
    <font>
      <sz val="10"/>
      <name val="Calibri"/>
      <family val="2"/>
    </font>
    <font>
      <sz val="11"/>
      <name val="Calibri"/>
      <family val="2"/>
      <scheme val="minor"/>
    </font>
    <font>
      <b/>
      <i/>
      <sz val="10"/>
      <name val="Calibri"/>
      <family val="2"/>
      <scheme val="minor"/>
    </font>
    <font>
      <b/>
      <i/>
      <u/>
      <sz val="10"/>
      <name val="Calibri"/>
      <family val="2"/>
      <scheme val="minor"/>
    </font>
    <font>
      <b/>
      <u/>
      <sz val="11"/>
      <color rgb="FFFF0000"/>
      <name val="Calibri"/>
      <family val="2"/>
      <scheme val="minor"/>
    </font>
    <font>
      <b/>
      <sz val="11"/>
      <name val="Calibri"/>
      <family val="2"/>
      <scheme val="minor"/>
    </font>
    <font>
      <b/>
      <sz val="10"/>
      <color theme="1"/>
      <name val="Calibri"/>
      <family val="2"/>
      <scheme val="minor"/>
    </font>
    <font>
      <b/>
      <sz val="10"/>
      <color rgb="FF222222"/>
      <name val="Calibri"/>
      <family val="2"/>
      <scheme val="minor"/>
    </font>
    <font>
      <b/>
      <sz val="10"/>
      <color indexed="8"/>
      <name val="Calibri"/>
      <family val="2"/>
      <scheme val="minor"/>
    </font>
    <font>
      <b/>
      <u/>
      <sz val="10"/>
      <color rgb="FFFF0000"/>
      <name val="Calibri"/>
      <family val="2"/>
      <scheme val="minor"/>
    </font>
    <font>
      <sz val="10"/>
      <name val="Arial"/>
      <family val="2"/>
    </font>
    <font>
      <sz val="10"/>
      <name val="Tms Rmn"/>
    </font>
    <font>
      <i/>
      <sz val="8"/>
      <name val="Calibri"/>
      <family val="2"/>
    </font>
    <font>
      <b/>
      <u/>
      <sz val="10"/>
      <name val="Calibri"/>
      <family val="2"/>
    </font>
    <font>
      <sz val="10"/>
      <color theme="1"/>
      <name val="Calibri"/>
      <family val="2"/>
      <scheme val="minor"/>
    </font>
    <font>
      <sz val="10"/>
      <color rgb="FF000000"/>
      <name val="Calibri"/>
      <family val="2"/>
      <scheme val="minor"/>
    </font>
    <font>
      <b/>
      <sz val="9.5"/>
      <name val="Calibri"/>
      <family val="2"/>
      <scheme val="minor"/>
    </font>
    <font>
      <b/>
      <sz val="11"/>
      <color rgb="FFFF0000"/>
      <name val="Calibri"/>
      <family val="2"/>
      <scheme val="minor"/>
    </font>
    <font>
      <b/>
      <u/>
      <sz val="12"/>
      <name val="Calibri"/>
      <family val="2"/>
      <scheme val="minor"/>
    </font>
    <font>
      <b/>
      <sz val="14"/>
      <color rgb="FF00B050"/>
      <name val="Calibri"/>
      <family val="2"/>
      <scheme val="minor"/>
    </font>
    <font>
      <b/>
      <u/>
      <sz val="14"/>
      <color rgb="FF00B050"/>
      <name val="Calibri"/>
      <family val="2"/>
      <scheme val="minor"/>
    </font>
    <font>
      <b/>
      <sz val="14"/>
      <color rgb="FFFF0000"/>
      <name val="Calibri"/>
      <family val="2"/>
      <scheme val="minor"/>
    </font>
    <font>
      <b/>
      <u/>
      <sz val="14"/>
      <color rgb="FFFF0000"/>
      <name val="Calibri"/>
      <family val="2"/>
      <scheme val="minor"/>
    </font>
    <font>
      <b/>
      <sz val="14"/>
      <color rgb="FF7030A0"/>
      <name val="Calibri"/>
      <family val="2"/>
      <scheme val="minor"/>
    </font>
    <font>
      <b/>
      <u/>
      <sz val="9"/>
      <name val="Calibri"/>
      <family val="2"/>
      <scheme val="minor"/>
    </font>
    <font>
      <b/>
      <sz val="12"/>
      <color rgb="FF00B050"/>
      <name val="Calibri"/>
      <family val="2"/>
      <scheme val="minor"/>
    </font>
    <font>
      <b/>
      <sz val="12"/>
      <color rgb="FF3366CC"/>
      <name val="Calibri"/>
      <family val="2"/>
      <scheme val="minor"/>
    </font>
    <font>
      <b/>
      <u/>
      <sz val="12"/>
      <color rgb="FF3366CC"/>
      <name val="Calibri"/>
      <family val="2"/>
      <scheme val="minor"/>
    </font>
    <font>
      <b/>
      <sz val="14"/>
      <color rgb="FF0070C0"/>
      <name val="Calibri"/>
      <family val="2"/>
      <scheme val="minor"/>
    </font>
    <font>
      <b/>
      <sz val="14"/>
      <color rgb="FF9999FF"/>
      <name val="Calibri"/>
      <family val="2"/>
      <scheme val="minor"/>
    </font>
    <font>
      <b/>
      <u/>
      <sz val="14"/>
      <color rgb="FF9999FF"/>
      <name val="Calibri"/>
      <family val="2"/>
      <scheme val="minor"/>
    </font>
    <font>
      <b/>
      <sz val="10"/>
      <color rgb="FF009644"/>
      <name val="Calibri"/>
      <family val="2"/>
      <scheme val="minor"/>
    </font>
    <font>
      <sz val="10"/>
      <color rgb="FF009644"/>
      <name val="Calibri"/>
      <family val="2"/>
      <scheme val="minor"/>
    </font>
    <font>
      <b/>
      <sz val="10"/>
      <color rgb="FF3366CC"/>
      <name val="Calibri"/>
      <family val="2"/>
      <scheme val="minor"/>
    </font>
    <font>
      <sz val="10"/>
      <color rgb="FF3366CC"/>
      <name val="Calibri"/>
      <family val="2"/>
      <scheme val="minor"/>
    </font>
    <font>
      <b/>
      <u/>
      <sz val="9"/>
      <color rgb="FFFF0000"/>
      <name val="Calibri"/>
      <family val="2"/>
      <scheme val="minor"/>
    </font>
    <font>
      <u/>
      <sz val="10"/>
      <name val="Calibri"/>
      <family val="2"/>
    </font>
    <font>
      <u/>
      <sz val="10"/>
      <color theme="10"/>
      <name val="Geneva"/>
    </font>
    <font>
      <sz val="9.75"/>
      <name val="Arial Narrow"/>
      <family val="2"/>
    </font>
    <font>
      <b/>
      <sz val="9.75"/>
      <name val="Arial"/>
      <family val="2"/>
    </font>
    <font>
      <sz val="9.75"/>
      <name val="Calibri"/>
      <family val="2"/>
      <scheme val="minor"/>
    </font>
    <font>
      <b/>
      <sz val="9.75"/>
      <name val="Calibri"/>
      <family val="2"/>
      <scheme val="minor"/>
    </font>
    <font>
      <b/>
      <sz val="8"/>
      <color indexed="81"/>
      <name val="Tahoma"/>
      <family val="2"/>
    </font>
    <font>
      <sz val="8"/>
      <color indexed="81"/>
      <name val="Tahoma"/>
      <family val="2"/>
    </font>
    <font>
      <u/>
      <sz val="9.75"/>
      <name val="Calibri"/>
      <family val="2"/>
      <scheme val="minor"/>
    </font>
    <font>
      <sz val="12"/>
      <name val="Arial"/>
      <family val="2"/>
    </font>
    <font>
      <sz val="10"/>
      <name val="Symbol"/>
      <family val="1"/>
      <charset val="2"/>
    </font>
    <font>
      <sz val="10"/>
      <name val="Times New Roman"/>
      <family val="1"/>
    </font>
    <font>
      <b/>
      <i/>
      <sz val="11"/>
      <name val="Calibri"/>
      <family val="2"/>
      <scheme val="minor"/>
    </font>
  </fonts>
  <fills count="50">
    <fill>
      <patternFill patternType="none"/>
    </fill>
    <fill>
      <patternFill patternType="gray125"/>
    </fill>
    <fill>
      <patternFill patternType="solid">
        <fgColor indexed="65"/>
        <bgColor indexed="64"/>
      </patternFill>
    </fill>
    <fill>
      <patternFill patternType="solid">
        <fgColor rgb="FFFFFF99"/>
        <bgColor indexed="64"/>
      </patternFill>
    </fill>
    <fill>
      <patternFill patternType="solid">
        <fgColor rgb="FF99FFCC"/>
        <bgColor indexed="64"/>
      </patternFill>
    </fill>
    <fill>
      <patternFill patternType="solid">
        <fgColor indexed="9"/>
      </patternFill>
    </fill>
    <fill>
      <patternFill patternType="solid">
        <fgColor rgb="FF9999FF"/>
        <bgColor indexed="64"/>
      </patternFill>
    </fill>
    <fill>
      <patternFill patternType="solid">
        <fgColor theme="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3366CC"/>
        <bgColor indexed="64"/>
      </patternFill>
    </fill>
    <fill>
      <patternFill patternType="solid">
        <fgColor rgb="FF00B0F0"/>
        <bgColor indexed="64"/>
      </patternFill>
    </fill>
    <fill>
      <patternFill patternType="solid">
        <fgColor theme="1" tint="0.499984740745262"/>
        <bgColor indexed="64"/>
      </patternFill>
    </fill>
    <fill>
      <patternFill patternType="solid">
        <fgColor rgb="FFFF339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00FFFF"/>
        <bgColor indexed="64"/>
      </patternFill>
    </fill>
    <fill>
      <patternFill patternType="solid">
        <fgColor rgb="FF00FF00"/>
        <bgColor indexed="64"/>
      </patternFill>
    </fill>
  </fills>
  <borders count="173">
    <border>
      <left/>
      <right/>
      <top/>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thick">
        <color indexed="64"/>
      </top>
      <bottom/>
      <diagonal/>
    </border>
    <border>
      <left/>
      <right/>
      <top/>
      <bottom style="thick">
        <color indexed="64"/>
      </bottom>
      <diagonal/>
    </border>
    <border>
      <left/>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top style="thin">
        <color indexed="64"/>
      </top>
      <bottom style="thick">
        <color indexed="64"/>
      </bottom>
      <diagonal/>
    </border>
    <border>
      <left style="thick">
        <color indexed="64"/>
      </left>
      <right style="thick">
        <color indexed="64"/>
      </right>
      <top/>
      <bottom style="double">
        <color indexed="64"/>
      </bottom>
      <diagonal/>
    </border>
    <border>
      <left style="thick">
        <color indexed="64"/>
      </left>
      <right style="thick">
        <color indexed="64"/>
      </right>
      <top style="thick">
        <color indexed="64"/>
      </top>
      <bottom style="double">
        <color indexed="64"/>
      </bottom>
      <diagonal/>
    </border>
    <border>
      <left/>
      <right style="thick">
        <color indexed="64"/>
      </right>
      <top/>
      <bottom style="double">
        <color indexed="64"/>
      </bottom>
      <diagonal/>
    </border>
    <border>
      <left style="thick">
        <color indexed="64"/>
      </left>
      <right style="thin">
        <color indexed="64"/>
      </right>
      <top style="thick">
        <color indexed="64"/>
      </top>
      <bottom style="thick">
        <color indexed="64"/>
      </bottom>
      <diagonal/>
    </border>
    <border>
      <left/>
      <right style="thick">
        <color indexed="64"/>
      </right>
      <top style="thick">
        <color indexed="64"/>
      </top>
      <bottom style="double">
        <color indexed="64"/>
      </bottom>
      <diagonal/>
    </border>
    <border>
      <left/>
      <right/>
      <top/>
      <bottom style="double">
        <color indexed="64"/>
      </bottom>
      <diagonal/>
    </border>
    <border>
      <left style="thick">
        <color indexed="64"/>
      </left>
      <right style="thin">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n">
        <color indexed="64"/>
      </right>
      <top style="thick">
        <color indexed="64"/>
      </top>
      <bottom/>
      <diagonal/>
    </border>
    <border>
      <left style="thick">
        <color indexed="64"/>
      </left>
      <right/>
      <top style="thick">
        <color indexed="64"/>
      </top>
      <bottom style="double">
        <color indexed="64"/>
      </bottom>
      <diagonal/>
    </border>
    <border>
      <left/>
      <right/>
      <top style="thick">
        <color indexed="64"/>
      </top>
      <bottom style="double">
        <color indexed="64"/>
      </bottom>
      <diagonal/>
    </border>
    <border>
      <left style="thick">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right/>
      <top/>
      <bottom style="thin">
        <color indexed="64"/>
      </bottom>
      <diagonal/>
    </border>
    <border>
      <left/>
      <right/>
      <top style="thin">
        <color auto="1"/>
      </top>
      <bottom style="double">
        <color auto="1"/>
      </bottom>
      <diagonal/>
    </border>
    <border>
      <left style="medium">
        <color indexed="64"/>
      </left>
      <right style="medium">
        <color indexed="64"/>
      </right>
      <top style="medium">
        <color indexed="64"/>
      </top>
      <bottom style="medium">
        <color indexed="64"/>
      </bottom>
      <diagonal/>
    </border>
    <border>
      <left style="double">
        <color auto="1"/>
      </left>
      <right style="double">
        <color auto="1"/>
      </right>
      <top style="double">
        <color auto="1"/>
      </top>
      <bottom style="double">
        <color auto="1"/>
      </bottom>
      <diagonal/>
    </border>
    <border>
      <left style="mediumDashDot">
        <color auto="1"/>
      </left>
      <right style="mediumDashDot">
        <color auto="1"/>
      </right>
      <top style="mediumDashDot">
        <color auto="1"/>
      </top>
      <bottom style="mediumDashDot">
        <color auto="1"/>
      </bottom>
      <diagonal/>
    </border>
    <border>
      <left/>
      <right/>
      <top/>
      <bottom style="mediumDashDot">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right style="thin">
        <color indexed="64"/>
      </right>
      <top/>
      <bottom/>
      <diagonal/>
    </border>
    <border>
      <left style="thin">
        <color auto="1"/>
      </left>
      <right style="thin">
        <color auto="1"/>
      </right>
      <top style="thin">
        <color auto="1"/>
      </top>
      <bottom style="double">
        <color auto="1"/>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n">
        <color indexed="64"/>
      </left>
      <right style="thin">
        <color indexed="64"/>
      </right>
      <top style="thick">
        <color indexed="64"/>
      </top>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n">
        <color indexed="64"/>
      </left>
      <right style="thin">
        <color indexed="64"/>
      </right>
      <top/>
      <bottom style="thick">
        <color indexed="64"/>
      </bottom>
      <diagonal/>
    </border>
    <border>
      <left style="thick">
        <color indexed="64"/>
      </left>
      <right style="thick">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79998168889431442"/>
      </top>
      <bottom style="thin">
        <color theme="4" tint="0.79998168889431442"/>
      </bottom>
      <diagonal/>
    </border>
    <border>
      <left style="thick">
        <color indexed="64"/>
      </left>
      <right style="double">
        <color indexed="64"/>
      </right>
      <top style="double">
        <color indexed="64"/>
      </top>
      <bottom style="double">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top style="double">
        <color indexed="64"/>
      </top>
      <bottom style="double">
        <color indexed="64"/>
      </bottom>
      <diagonal/>
    </border>
    <border>
      <left style="mediumDashDot">
        <color auto="1"/>
      </left>
      <right/>
      <top style="mediumDashDot">
        <color auto="1"/>
      </top>
      <bottom/>
      <diagonal/>
    </border>
    <border>
      <left style="thin">
        <color auto="1"/>
      </left>
      <right style="mediumDashDot">
        <color auto="1"/>
      </right>
      <top style="mediumDashDot">
        <color auto="1"/>
      </top>
      <bottom/>
      <diagonal/>
    </border>
    <border>
      <left style="mediumDashDot">
        <color auto="1"/>
      </left>
      <right/>
      <top/>
      <bottom/>
      <diagonal/>
    </border>
    <border>
      <left style="thin">
        <color auto="1"/>
      </left>
      <right style="mediumDashDot">
        <color auto="1"/>
      </right>
      <top/>
      <bottom/>
      <diagonal/>
    </border>
    <border>
      <left style="mediumDashDot">
        <color auto="1"/>
      </left>
      <right/>
      <top/>
      <bottom style="thin">
        <color auto="1"/>
      </bottom>
      <diagonal/>
    </border>
    <border>
      <left style="thin">
        <color auto="1"/>
      </left>
      <right style="mediumDashDot">
        <color auto="1"/>
      </right>
      <top/>
      <bottom style="thin">
        <color auto="1"/>
      </bottom>
      <diagonal/>
    </border>
    <border>
      <left style="mediumDashDot">
        <color auto="1"/>
      </left>
      <right/>
      <top style="thin">
        <color auto="1"/>
      </top>
      <bottom/>
      <diagonal/>
    </border>
    <border>
      <left style="thin">
        <color auto="1"/>
      </left>
      <right style="mediumDashDot">
        <color auto="1"/>
      </right>
      <top style="thin">
        <color auto="1"/>
      </top>
      <bottom/>
      <diagonal/>
    </border>
    <border>
      <left style="double">
        <color auto="1"/>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style="double">
        <color auto="1"/>
      </top>
      <bottom/>
      <diagonal/>
    </border>
    <border>
      <left/>
      <right style="double">
        <color auto="1"/>
      </right>
      <top style="double">
        <color auto="1"/>
      </top>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right/>
      <top style="double">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thin">
        <color indexed="64"/>
      </left>
      <right style="medium">
        <color auto="1"/>
      </right>
      <top style="thin">
        <color indexed="64"/>
      </top>
      <bottom style="medium">
        <color auto="1"/>
      </bottom>
      <diagonal/>
    </border>
    <border>
      <left style="thin">
        <color indexed="64"/>
      </left>
      <right style="medium">
        <color auto="1"/>
      </right>
      <top style="thin">
        <color indexed="64"/>
      </top>
      <bottom/>
      <diagonal/>
    </border>
    <border>
      <left style="thin">
        <color indexed="64"/>
      </left>
      <right style="thick">
        <color auto="1"/>
      </right>
      <top style="thin">
        <color indexed="64"/>
      </top>
      <bottom style="thick">
        <color auto="1"/>
      </bottom>
      <diagonal/>
    </border>
    <border>
      <left style="double">
        <color auto="1"/>
      </left>
      <right style="thin">
        <color auto="1"/>
      </right>
      <top/>
      <bottom/>
      <diagonal/>
    </border>
    <border>
      <left style="thin">
        <color auto="1"/>
      </left>
      <right style="double">
        <color auto="1"/>
      </right>
      <top/>
      <bottom/>
      <diagonal/>
    </border>
    <border>
      <left style="double">
        <color indexed="64"/>
      </left>
      <right/>
      <top/>
      <bottom/>
      <diagonal/>
    </border>
    <border>
      <left/>
      <right style="double">
        <color indexed="64"/>
      </right>
      <top/>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top/>
      <bottom/>
      <diagonal/>
    </border>
    <border>
      <left style="thick">
        <color indexed="64"/>
      </left>
      <right style="thick">
        <color indexed="64"/>
      </right>
      <top style="double">
        <color indexed="64"/>
      </top>
      <bottom style="double">
        <color indexed="64"/>
      </bottom>
      <diagonal/>
    </border>
    <border>
      <left style="double">
        <color auto="1"/>
      </left>
      <right style="double">
        <color auto="1"/>
      </right>
      <top style="double">
        <color auto="1"/>
      </top>
      <bottom/>
      <diagonal/>
    </border>
    <border>
      <left style="double">
        <color auto="1"/>
      </left>
      <right style="double">
        <color auto="1"/>
      </right>
      <top/>
      <bottom/>
      <diagonal/>
    </border>
    <border>
      <left style="double">
        <color auto="1"/>
      </left>
      <right style="double">
        <color auto="1"/>
      </right>
      <top/>
      <bottom style="double">
        <color auto="1"/>
      </bottom>
      <diagonal/>
    </border>
    <border>
      <left style="double">
        <color auto="1"/>
      </left>
      <right style="double">
        <color auto="1"/>
      </right>
      <top/>
      <bottom style="thin">
        <color auto="1"/>
      </bottom>
      <diagonal/>
    </border>
    <border>
      <left style="thin">
        <color auto="1"/>
      </left>
      <right style="double">
        <color auto="1"/>
      </right>
      <top style="thin">
        <color auto="1"/>
      </top>
      <bottom/>
      <diagonal/>
    </border>
    <border>
      <left style="thin">
        <color auto="1"/>
      </left>
      <right style="double">
        <color auto="1"/>
      </right>
      <top/>
      <bottom style="double">
        <color auto="1"/>
      </bottom>
      <diagonal/>
    </border>
    <border>
      <left style="thick">
        <color indexed="64"/>
      </left>
      <right style="thick">
        <color indexed="64"/>
      </right>
      <top style="double">
        <color indexed="64"/>
      </top>
      <bottom style="thick">
        <color indexed="64"/>
      </bottom>
      <diagonal/>
    </border>
    <border>
      <left style="double">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ck">
        <color auto="1"/>
      </left>
      <right style="double">
        <color auto="1"/>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auto="1"/>
      </left>
      <right/>
      <top style="thick">
        <color auto="1"/>
      </top>
      <bottom/>
      <diagonal/>
    </border>
    <border>
      <left style="medium">
        <color auto="1"/>
      </left>
      <right/>
      <top/>
      <bottom style="thick">
        <color indexed="64"/>
      </bottom>
      <diagonal/>
    </border>
    <border>
      <left style="mediumDashDot">
        <color auto="1"/>
      </left>
      <right/>
      <top/>
      <bottom style="mediumDashDot">
        <color auto="1"/>
      </bottom>
      <diagonal/>
    </border>
    <border>
      <left style="thin">
        <color auto="1"/>
      </left>
      <right style="mediumDashDot">
        <color auto="1"/>
      </right>
      <top/>
      <bottom style="mediumDashDot">
        <color auto="1"/>
      </bottom>
      <diagonal/>
    </border>
    <border>
      <left style="double">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bottom style="double">
        <color auto="1"/>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right/>
      <top style="medium">
        <color indexed="64"/>
      </top>
      <bottom style="medium">
        <color indexed="64"/>
      </bottom>
      <diagonal/>
    </border>
    <border>
      <left style="double">
        <color auto="1"/>
      </left>
      <right style="double">
        <color auto="1"/>
      </right>
      <top style="double">
        <color auto="1"/>
      </top>
      <bottom style="thin">
        <color auto="1"/>
      </bottom>
      <diagonal/>
    </border>
    <border>
      <left style="double">
        <color auto="1"/>
      </left>
      <right style="double">
        <color auto="1"/>
      </right>
      <top style="thin">
        <color auto="1"/>
      </top>
      <bottom style="thin">
        <color auto="1"/>
      </bottom>
      <diagonal/>
    </border>
    <border>
      <left style="double">
        <color auto="1"/>
      </left>
      <right style="double">
        <color auto="1"/>
      </right>
      <top style="thin">
        <color auto="1"/>
      </top>
      <bottom style="double">
        <color auto="1"/>
      </bottom>
      <diagonal/>
    </border>
    <border>
      <left style="double">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double">
        <color auto="1"/>
      </top>
      <bottom style="thin">
        <color auto="1"/>
      </bottom>
      <diagonal/>
    </border>
    <border>
      <left/>
      <right/>
      <top/>
      <bottom style="medium">
        <color indexed="64"/>
      </bottom>
      <diagonal/>
    </border>
    <border>
      <left style="thin">
        <color auto="1"/>
      </left>
      <right/>
      <top/>
      <bottom style="thin">
        <color auto="1"/>
      </bottom>
      <diagonal/>
    </border>
    <border>
      <left/>
      <right style="thin">
        <color auto="1"/>
      </right>
      <top/>
      <bottom style="thin">
        <color auto="1"/>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top style="thin">
        <color auto="1"/>
      </top>
      <bottom/>
      <diagonal/>
    </border>
    <border>
      <left/>
      <right style="double">
        <color auto="1"/>
      </right>
      <top style="thin">
        <color auto="1"/>
      </top>
      <bottom/>
      <diagonal/>
    </border>
    <border>
      <left style="thick">
        <color indexed="64"/>
      </left>
      <right/>
      <top/>
      <bottom style="double">
        <color indexed="64"/>
      </bottom>
      <diagonal/>
    </border>
    <border>
      <left style="thick">
        <color indexed="64"/>
      </left>
      <right/>
      <top style="double">
        <color indexed="64"/>
      </top>
      <bottom style="double">
        <color indexed="64"/>
      </bottom>
      <diagonal/>
    </border>
    <border>
      <left/>
      <right style="thick">
        <color indexed="64"/>
      </right>
      <top style="double">
        <color indexed="64"/>
      </top>
      <bottom style="double">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auto="1"/>
      </right>
      <top style="medium">
        <color indexed="64"/>
      </top>
      <bottom/>
      <diagonal/>
    </border>
    <border>
      <left/>
      <right style="medium">
        <color indexed="64"/>
      </right>
      <top/>
      <bottom style="medium">
        <color indexed="64"/>
      </bottom>
      <diagonal/>
    </border>
    <border>
      <left/>
      <right style="medium">
        <color indexed="64"/>
      </right>
      <top/>
      <bottom style="thick">
        <color indexed="64"/>
      </bottom>
      <diagonal/>
    </border>
    <border>
      <left/>
      <right style="medium">
        <color indexed="64"/>
      </right>
      <top style="thick">
        <color indexed="64"/>
      </top>
      <bottom/>
      <diagonal/>
    </border>
  </borders>
  <cellStyleXfs count="83">
    <xf numFmtId="0" fontId="0" fillId="0" borderId="0"/>
    <xf numFmtId="44" fontId="3" fillId="0" borderId="0" applyFont="0" applyFill="0" applyBorder="0" applyAlignment="0" applyProtection="0"/>
    <xf numFmtId="9" fontId="3" fillId="0" borderId="0" applyFont="0" applyFill="0" applyBorder="0" applyAlignment="0" applyProtection="0"/>
    <xf numFmtId="0" fontId="4" fillId="0" borderId="0"/>
    <xf numFmtId="0" fontId="7" fillId="0" borderId="0" applyNumberFormat="0" applyFill="0" applyBorder="0" applyAlignment="0" applyProtection="0"/>
    <xf numFmtId="0" fontId="8" fillId="0" borderId="55" applyNumberFormat="0" applyFill="0" applyAlignment="0" applyProtection="0"/>
    <xf numFmtId="0" fontId="9" fillId="0" borderId="56" applyNumberFormat="0" applyFill="0" applyAlignment="0" applyProtection="0"/>
    <xf numFmtId="0" fontId="10" fillId="0" borderId="57" applyNumberFormat="0" applyFill="0" applyAlignment="0" applyProtection="0"/>
    <xf numFmtId="0" fontId="10" fillId="0" borderId="0" applyNumberFormat="0" applyFill="0" applyBorder="0" applyAlignment="0" applyProtection="0"/>
    <xf numFmtId="0" fontId="11" fillId="14" borderId="0" applyNumberFormat="0" applyBorder="0" applyAlignment="0" applyProtection="0"/>
    <xf numFmtId="0" fontId="12" fillId="15" borderId="0" applyNumberFormat="0" applyBorder="0" applyAlignment="0" applyProtection="0"/>
    <xf numFmtId="0" fontId="13" fillId="16" borderId="0" applyNumberFormat="0" applyBorder="0" applyAlignment="0" applyProtection="0"/>
    <xf numFmtId="0" fontId="14" fillId="17" borderId="58" applyNumberFormat="0" applyAlignment="0" applyProtection="0"/>
    <xf numFmtId="0" fontId="15" fillId="18" borderId="59" applyNumberFormat="0" applyAlignment="0" applyProtection="0"/>
    <xf numFmtId="0" fontId="16" fillId="18" borderId="58" applyNumberFormat="0" applyAlignment="0" applyProtection="0"/>
    <xf numFmtId="0" fontId="17" fillId="0" borderId="60" applyNumberFormat="0" applyFill="0" applyAlignment="0" applyProtection="0"/>
    <xf numFmtId="0" fontId="18" fillId="19" borderId="61"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63" applyNumberFormat="0" applyFill="0" applyAlignment="0" applyProtection="0"/>
    <xf numFmtId="0" fontId="22"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2" fillId="44" borderId="0" applyNumberFormat="0" applyBorder="0" applyAlignment="0" applyProtection="0"/>
    <xf numFmtId="0" fontId="2" fillId="0" borderId="0"/>
    <xf numFmtId="0" fontId="2" fillId="20" borderId="62" applyNumberFormat="0" applyFont="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42"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3" fontId="4" fillId="0" borderId="0" applyFont="0" applyFill="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0" borderId="0"/>
    <xf numFmtId="0" fontId="1" fillId="20" borderId="62" applyNumberFormat="0" applyFont="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45" fillId="0" borderId="0"/>
    <xf numFmtId="0" fontId="46" fillId="0" borderId="0"/>
    <xf numFmtId="8" fontId="3" fillId="0" borderId="0" applyFont="0" applyFill="0" applyBorder="0" applyAlignment="0" applyProtection="0"/>
    <xf numFmtId="9" fontId="46" fillId="0" borderId="0" applyFont="0" applyFill="0" applyBorder="0" applyAlignment="0" applyProtection="0"/>
    <xf numFmtId="43" fontId="3" fillId="0" borderId="0" applyFont="0" applyFill="0" applyBorder="0" applyAlignment="0" applyProtection="0"/>
    <xf numFmtId="0" fontId="72" fillId="0" borderId="0" applyNumberFormat="0" applyFill="0" applyBorder="0" applyAlignment="0" applyProtection="0"/>
  </cellStyleXfs>
  <cellXfs count="2312">
    <xf numFmtId="0" fontId="0" fillId="0" borderId="0" xfId="0"/>
    <xf numFmtId="0" fontId="23" fillId="45" borderId="64" xfId="3" applyFont="1" applyFill="1" applyBorder="1"/>
    <xf numFmtId="0" fontId="24" fillId="0" borderId="0" xfId="0" applyFont="1"/>
    <xf numFmtId="0" fontId="25" fillId="0" borderId="0" xfId="0" applyFont="1" applyProtection="1"/>
    <xf numFmtId="0" fontId="26" fillId="0" borderId="0" xfId="0" applyFont="1" applyProtection="1"/>
    <xf numFmtId="0" fontId="26" fillId="0" borderId="0" xfId="0" applyFont="1" applyAlignment="1" applyProtection="1">
      <alignment horizontal="centerContinuous"/>
    </xf>
    <xf numFmtId="0" fontId="26" fillId="10" borderId="0" xfId="0" applyFont="1" applyFill="1" applyProtection="1"/>
    <xf numFmtId="0" fontId="26" fillId="0" borderId="0" xfId="0" applyFont="1" applyBorder="1" applyAlignment="1" applyProtection="1">
      <alignment horizontal="centerContinuous"/>
    </xf>
    <xf numFmtId="0" fontId="26" fillId="0" borderId="0" xfId="0" applyFont="1" applyBorder="1" applyProtection="1"/>
    <xf numFmtId="0" fontId="26" fillId="0" borderId="5" xfId="0" applyFont="1" applyBorder="1" applyProtection="1"/>
    <xf numFmtId="0" fontId="26" fillId="0" borderId="8" xfId="0" applyFont="1" applyBorder="1" applyProtection="1"/>
    <xf numFmtId="0" fontId="26" fillId="0" borderId="6" xfId="0" applyFont="1" applyBorder="1" applyProtection="1"/>
    <xf numFmtId="0" fontId="26" fillId="0" borderId="0" xfId="0" applyFont="1" applyAlignment="1" applyProtection="1">
      <alignment horizontal="center"/>
    </xf>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xf>
    <xf numFmtId="0" fontId="26" fillId="0" borderId="7" xfId="0" applyFont="1" applyBorder="1" applyProtection="1"/>
    <xf numFmtId="0" fontId="26" fillId="0" borderId="8" xfId="0" applyFont="1" applyBorder="1" applyAlignment="1" applyProtection="1">
      <alignment horizontal="center"/>
    </xf>
    <xf numFmtId="0" fontId="26" fillId="0" borderId="7" xfId="0" applyFont="1" applyBorder="1" applyAlignment="1" applyProtection="1">
      <alignment horizontal="center"/>
    </xf>
    <xf numFmtId="0" fontId="26" fillId="6" borderId="9" xfId="0" applyFont="1" applyFill="1" applyBorder="1" applyAlignment="1" applyProtection="1"/>
    <xf numFmtId="0" fontId="26" fillId="6" borderId="8" xfId="0" applyFont="1" applyFill="1" applyBorder="1" applyAlignment="1" applyProtection="1">
      <alignment horizontal="center"/>
    </xf>
    <xf numFmtId="0" fontId="26" fillId="6" borderId="0" xfId="0" applyFont="1" applyFill="1" applyProtection="1"/>
    <xf numFmtId="0" fontId="26" fillId="0" borderId="0" xfId="0" applyFont="1" applyBorder="1" applyAlignment="1" applyProtection="1">
      <alignment horizontal="left"/>
    </xf>
    <xf numFmtId="0" fontId="26" fillId="11" borderId="0" xfId="0" applyFont="1" applyFill="1" applyProtection="1"/>
    <xf numFmtId="0" fontId="26" fillId="4" borderId="8" xfId="0" applyFont="1" applyFill="1" applyBorder="1" applyAlignment="1" applyProtection="1">
      <alignment horizontal="left"/>
      <protection locked="0"/>
    </xf>
    <xf numFmtId="0" fontId="26" fillId="0" borderId="0" xfId="0" applyFont="1" applyBorder="1" applyAlignment="1" applyProtection="1"/>
    <xf numFmtId="0" fontId="26" fillId="4" borderId="8" xfId="0" applyFont="1" applyFill="1" applyBorder="1" applyAlignment="1" applyProtection="1">
      <alignment horizontal="left"/>
    </xf>
    <xf numFmtId="0" fontId="26" fillId="0" borderId="0" xfId="0" applyFont="1" applyBorder="1" applyAlignment="1" applyProtection="1">
      <alignment horizontal="center"/>
    </xf>
    <xf numFmtId="0" fontId="26" fillId="10" borderId="0" xfId="0" applyFont="1" applyFill="1" applyBorder="1" applyProtection="1"/>
    <xf numFmtId="0" fontId="26" fillId="0" borderId="0" xfId="0" applyFont="1" applyFill="1" applyBorder="1" applyAlignment="1" applyProtection="1"/>
    <xf numFmtId="0" fontId="26" fillId="6" borderId="8" xfId="0" applyFont="1" applyFill="1" applyBorder="1" applyAlignment="1" applyProtection="1"/>
    <xf numFmtId="0" fontId="26" fillId="6" borderId="8" xfId="0" applyFont="1" applyFill="1" applyBorder="1" applyAlignment="1" applyProtection="1">
      <alignment horizontal="left"/>
    </xf>
    <xf numFmtId="174" fontId="26" fillId="6" borderId="8" xfId="0" applyNumberFormat="1" applyFont="1" applyFill="1" applyBorder="1" applyAlignment="1" applyProtection="1"/>
    <xf numFmtId="0" fontId="26" fillId="6" borderId="0" xfId="0" applyFont="1" applyFill="1" applyBorder="1" applyAlignment="1" applyProtection="1"/>
    <xf numFmtId="0" fontId="26" fillId="3" borderId="7" xfId="0" applyFont="1" applyFill="1" applyBorder="1" applyAlignment="1" applyProtection="1">
      <alignment horizontal="center"/>
    </xf>
    <xf numFmtId="0" fontId="26" fillId="3" borderId="0" xfId="0" applyFont="1" applyFill="1" applyBorder="1" applyAlignment="1" applyProtection="1">
      <alignment horizontal="center"/>
    </xf>
    <xf numFmtId="0" fontId="26" fillId="4" borderId="9" xfId="0" applyFont="1" applyFill="1" applyBorder="1" applyAlignment="1" applyProtection="1">
      <alignment horizontal="left"/>
    </xf>
    <xf numFmtId="0" fontId="29" fillId="4" borderId="9" xfId="0" applyFont="1" applyFill="1" applyBorder="1" applyAlignment="1" applyProtection="1">
      <alignment horizontal="left"/>
    </xf>
    <xf numFmtId="0" fontId="26" fillId="0" borderId="0" xfId="0" applyFont="1" applyAlignment="1" applyProtection="1"/>
    <xf numFmtId="167" fontId="26" fillId="0" borderId="7" xfId="0" applyNumberFormat="1" applyFont="1" applyFill="1" applyBorder="1" applyAlignment="1" applyProtection="1"/>
    <xf numFmtId="0" fontId="26" fillId="0" borderId="0" xfId="0" applyFont="1" applyFill="1" applyProtection="1"/>
    <xf numFmtId="0" fontId="29" fillId="0" borderId="0" xfId="0" applyFont="1" applyProtection="1"/>
    <xf numFmtId="0" fontId="29" fillId="10" borderId="0" xfId="0" applyFont="1" applyFill="1" applyProtection="1"/>
    <xf numFmtId="0" fontId="26" fillId="3" borderId="1" xfId="0" applyFont="1" applyFill="1" applyBorder="1" applyAlignment="1" applyProtection="1">
      <alignment horizontal="centerContinuous"/>
    </xf>
    <xf numFmtId="0" fontId="26" fillId="3" borderId="24" xfId="0" applyFont="1" applyFill="1" applyBorder="1" applyAlignment="1" applyProtection="1">
      <alignment horizontal="center"/>
    </xf>
    <xf numFmtId="0" fontId="26" fillId="3" borderId="24" xfId="0" applyFont="1" applyFill="1" applyBorder="1" applyAlignment="1" applyProtection="1">
      <alignment horizontal="centerContinuous"/>
    </xf>
    <xf numFmtId="0" fontId="26" fillId="3" borderId="1" xfId="0"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5" xfId="0" applyFont="1" applyFill="1" applyBorder="1" applyAlignment="1" applyProtection="1">
      <alignment horizontal="centerContinuous"/>
    </xf>
    <xf numFmtId="0" fontId="26" fillId="3" borderId="21" xfId="0" applyFont="1" applyFill="1" applyBorder="1" applyAlignment="1" applyProtection="1">
      <alignment horizontal="center"/>
    </xf>
    <xf numFmtId="0" fontId="26" fillId="3" borderId="21" xfId="0" applyFont="1" applyFill="1" applyBorder="1" applyAlignment="1" applyProtection="1">
      <alignment horizontal="centerContinuous"/>
    </xf>
    <xf numFmtId="0" fontId="26" fillId="3" borderId="5" xfId="0" applyFont="1" applyFill="1" applyBorder="1" applyAlignment="1" applyProtection="1">
      <alignment horizontal="center"/>
    </xf>
    <xf numFmtId="0" fontId="26" fillId="3" borderId="13" xfId="0" applyFont="1" applyFill="1" applyBorder="1" applyAlignment="1" applyProtection="1">
      <alignment horizontal="center"/>
    </xf>
    <xf numFmtId="0" fontId="32" fillId="0" borderId="0" xfId="0" applyFont="1" applyProtection="1"/>
    <xf numFmtId="0" fontId="26" fillId="4" borderId="10" xfId="0" applyFont="1" applyFill="1" applyBorder="1" applyAlignment="1" applyProtection="1">
      <alignment horizontal="center"/>
      <protection locked="0"/>
    </xf>
    <xf numFmtId="171" fontId="26" fillId="4" borderId="18" xfId="0" applyNumberFormat="1" applyFont="1" applyFill="1" applyBorder="1" applyAlignment="1" applyProtection="1">
      <alignment horizontal="center"/>
      <protection locked="0"/>
    </xf>
    <xf numFmtId="39" fontId="26" fillId="4" borderId="18" xfId="0" applyNumberFormat="1" applyFont="1" applyFill="1" applyBorder="1" applyAlignment="1" applyProtection="1">
      <alignment horizontal="center"/>
      <protection locked="0"/>
    </xf>
    <xf numFmtId="39" fontId="26" fillId="3" borderId="10" xfId="0" applyNumberFormat="1" applyFont="1" applyFill="1" applyBorder="1" applyAlignment="1" applyProtection="1">
      <alignment horizontal="center"/>
    </xf>
    <xf numFmtId="0" fontId="26" fillId="4" borderId="10" xfId="0" applyNumberFormat="1" applyFont="1" applyFill="1" applyBorder="1" applyAlignment="1" applyProtection="1">
      <alignment horizontal="center"/>
      <protection locked="0"/>
    </xf>
    <xf numFmtId="7" fontId="26" fillId="4" borderId="11" xfId="0" applyNumberFormat="1" applyFont="1" applyFill="1" applyBorder="1" applyAlignment="1" applyProtection="1">
      <alignment horizontal="center"/>
      <protection locked="0"/>
    </xf>
    <xf numFmtId="0" fontId="26" fillId="6" borderId="10" xfId="0" applyFont="1" applyFill="1" applyBorder="1" applyAlignment="1" applyProtection="1">
      <alignment horizontal="center"/>
    </xf>
    <xf numFmtId="171" fontId="26" fillId="6" borderId="18" xfId="0" applyNumberFormat="1" applyFont="1" applyFill="1" applyBorder="1" applyAlignment="1" applyProtection="1">
      <alignment horizontal="center"/>
    </xf>
    <xf numFmtId="39" fontId="26" fillId="6" borderId="18" xfId="0" applyNumberFormat="1" applyFont="1" applyFill="1" applyBorder="1" applyAlignment="1" applyProtection="1">
      <alignment horizontal="center"/>
    </xf>
    <xf numFmtId="39" fontId="26" fillId="3" borderId="14" xfId="0" applyNumberFormat="1" applyFont="1" applyFill="1" applyBorder="1" applyAlignment="1" applyProtection="1">
      <alignment horizontal="center"/>
    </xf>
    <xf numFmtId="7" fontId="26" fillId="6" borderId="11" xfId="0" applyNumberFormat="1" applyFont="1" applyFill="1" applyBorder="1" applyAlignment="1" applyProtection="1">
      <alignment horizontal="center"/>
    </xf>
    <xf numFmtId="171" fontId="26" fillId="6" borderId="21" xfId="0" applyNumberFormat="1" applyFont="1" applyFill="1" applyBorder="1" applyAlignment="1" applyProtection="1">
      <alignment horizontal="center"/>
    </xf>
    <xf numFmtId="39" fontId="26" fillId="6" borderId="21" xfId="0" applyNumberFormat="1" applyFont="1" applyFill="1" applyBorder="1" applyAlignment="1" applyProtection="1">
      <alignment horizontal="center"/>
    </xf>
    <xf numFmtId="7" fontId="26" fillId="6" borderId="13" xfId="0" applyNumberFormat="1" applyFont="1" applyFill="1" applyBorder="1" applyAlignment="1" applyProtection="1">
      <alignment horizontal="center"/>
    </xf>
    <xf numFmtId="171" fontId="26" fillId="6" borderId="28" xfId="0" applyNumberFormat="1" applyFont="1" applyFill="1" applyBorder="1" applyAlignment="1" applyProtection="1">
      <alignment horizontal="center"/>
    </xf>
    <xf numFmtId="39" fontId="26" fillId="6" borderId="28" xfId="0" applyNumberFormat="1" applyFont="1" applyFill="1" applyBorder="1" applyAlignment="1" applyProtection="1">
      <alignment horizontal="center"/>
    </xf>
    <xf numFmtId="7" fontId="26" fillId="6" borderId="29" xfId="0" applyNumberFormat="1" applyFont="1" applyFill="1" applyBorder="1" applyAlignment="1" applyProtection="1">
      <alignment horizontal="center"/>
    </xf>
    <xf numFmtId="171" fontId="26" fillId="4" borderId="11" xfId="0" applyNumberFormat="1" applyFont="1" applyFill="1" applyBorder="1" applyAlignment="1" applyProtection="1">
      <alignment horizontal="center"/>
      <protection locked="0"/>
    </xf>
    <xf numFmtId="171" fontId="26" fillId="6" borderId="11" xfId="0" applyNumberFormat="1" applyFont="1" applyFill="1" applyBorder="1" applyAlignment="1" applyProtection="1">
      <alignment horizontal="center"/>
    </xf>
    <xf numFmtId="39" fontId="26" fillId="6" borderId="11" xfId="0" applyNumberFormat="1" applyFont="1" applyFill="1" applyBorder="1" applyAlignment="1" applyProtection="1">
      <alignment horizontal="center"/>
    </xf>
    <xf numFmtId="0" fontId="26" fillId="4" borderId="11" xfId="0" applyNumberFormat="1" applyFont="1" applyFill="1" applyBorder="1" applyAlignment="1" applyProtection="1">
      <alignment horizontal="center"/>
      <protection locked="0"/>
    </xf>
    <xf numFmtId="171" fontId="26" fillId="3" borderId="20" xfId="0" applyNumberFormat="1" applyFont="1" applyFill="1" applyBorder="1" applyAlignment="1" applyProtection="1">
      <alignment horizontal="center"/>
    </xf>
    <xf numFmtId="39" fontId="26" fillId="3" borderId="20" xfId="0" applyNumberFormat="1" applyFont="1" applyFill="1" applyBorder="1" applyAlignment="1" applyProtection="1">
      <alignment horizontal="center"/>
    </xf>
    <xf numFmtId="1" fontId="26" fillId="0" borderId="7" xfId="0" applyNumberFormat="1" applyFont="1" applyFill="1" applyBorder="1" applyAlignment="1" applyProtection="1">
      <alignment horizontal="center"/>
    </xf>
    <xf numFmtId="1" fontId="26" fillId="0" borderId="0" xfId="0" applyNumberFormat="1" applyFont="1" applyProtection="1"/>
    <xf numFmtId="0" fontId="26" fillId="6" borderId="31" xfId="0" applyFont="1" applyFill="1" applyBorder="1" applyProtection="1"/>
    <xf numFmtId="0" fontId="26" fillId="0" borderId="31" xfId="0" applyFont="1" applyBorder="1" applyProtection="1"/>
    <xf numFmtId="0" fontId="26" fillId="0" borderId="0" xfId="0" applyFont="1" applyAlignment="1" applyProtection="1">
      <alignment vertical="top"/>
    </xf>
    <xf numFmtId="0" fontId="26" fillId="0" borderId="0" xfId="0" applyFont="1" applyAlignment="1" applyProtection="1">
      <alignment horizontal="center" vertical="top"/>
    </xf>
    <xf numFmtId="1" fontId="26" fillId="0" borderId="0" xfId="0" applyNumberFormat="1" applyFont="1" applyBorder="1" applyAlignment="1" applyProtection="1">
      <alignment horizontal="center" vertical="top"/>
    </xf>
    <xf numFmtId="1" fontId="26" fillId="0" borderId="0" xfId="0" applyNumberFormat="1" applyFont="1" applyAlignment="1" applyProtection="1">
      <alignment vertical="top"/>
    </xf>
    <xf numFmtId="0" fontId="26" fillId="10" borderId="0" xfId="0" applyFont="1" applyFill="1" applyAlignment="1" applyProtection="1">
      <alignment vertical="top"/>
    </xf>
    <xf numFmtId="0" fontId="26" fillId="0" borderId="0" xfId="0" applyFont="1" applyAlignment="1" applyProtection="1">
      <alignment horizontal="right"/>
    </xf>
    <xf numFmtId="0" fontId="26" fillId="6" borderId="0" xfId="0" applyNumberFormat="1" applyFont="1" applyFill="1" applyProtection="1"/>
    <xf numFmtId="0" fontId="26" fillId="0" borderId="0" xfId="0" applyFont="1" applyFill="1" applyAlignment="1" applyProtection="1">
      <alignment horizontal="center"/>
    </xf>
    <xf numFmtId="1" fontId="26" fillId="0" borderId="0" xfId="0" applyNumberFormat="1" applyFont="1" applyFill="1" applyBorder="1" applyAlignment="1" applyProtection="1">
      <alignment horizontal="center"/>
    </xf>
    <xf numFmtId="1" fontId="26" fillId="0" borderId="0" xfId="0" applyNumberFormat="1" applyFont="1" applyFill="1" applyProtection="1"/>
    <xf numFmtId="0" fontId="26" fillId="0" borderId="0" xfId="0" applyNumberFormat="1" applyFont="1" applyFill="1" applyProtection="1"/>
    <xf numFmtId="0" fontId="26" fillId="0" borderId="0" xfId="0" applyFont="1" applyFill="1" applyAlignment="1" applyProtection="1">
      <alignment horizontal="right"/>
    </xf>
    <xf numFmtId="171" fontId="26" fillId="3" borderId="8" xfId="0" applyNumberFormat="1" applyFont="1" applyFill="1" applyBorder="1" applyAlignment="1" applyProtection="1">
      <alignment horizontal="center"/>
    </xf>
    <xf numFmtId="0" fontId="26" fillId="0" borderId="0" xfId="0" applyFont="1" applyAlignment="1" applyProtection="1">
      <alignment horizontal="left" indent="2"/>
    </xf>
    <xf numFmtId="39" fontId="26" fillId="3" borderId="8" xfId="0" applyNumberFormat="1" applyFont="1" applyFill="1" applyBorder="1" applyAlignment="1" applyProtection="1">
      <alignment horizontal="center"/>
    </xf>
    <xf numFmtId="39" fontId="26" fillId="6" borderId="8" xfId="0" applyNumberFormat="1" applyFont="1" applyFill="1" applyBorder="1" applyAlignment="1" applyProtection="1">
      <alignment horizontal="center"/>
    </xf>
    <xf numFmtId="167" fontId="26" fillId="3" borderId="8" xfId="0" applyNumberFormat="1" applyFont="1" applyFill="1" applyBorder="1" applyAlignment="1" applyProtection="1">
      <alignment horizontal="center"/>
    </xf>
    <xf numFmtId="167" fontId="26" fillId="6" borderId="8" xfId="0" applyNumberFormat="1" applyFont="1" applyFill="1" applyBorder="1" applyAlignment="1" applyProtection="1">
      <alignment horizontal="center"/>
    </xf>
    <xf numFmtId="0" fontId="29" fillId="0" borderId="0" xfId="0" applyFont="1" applyBorder="1" applyProtection="1"/>
    <xf numFmtId="0" fontId="29" fillId="10" borderId="0" xfId="0" applyFont="1" applyFill="1" applyBorder="1" applyProtection="1"/>
    <xf numFmtId="0" fontId="29" fillId="0" borderId="0" xfId="0" applyFont="1"/>
    <xf numFmtId="0" fontId="29" fillId="10" borderId="0" xfId="0" applyFont="1" applyFill="1"/>
    <xf numFmtId="0" fontId="30" fillId="10" borderId="0" xfId="0" applyFont="1" applyFill="1" applyAlignment="1" applyProtection="1">
      <alignment wrapText="1"/>
    </xf>
    <xf numFmtId="0" fontId="30" fillId="0" borderId="0" xfId="0" applyFont="1" applyAlignment="1" applyProtection="1">
      <alignment wrapText="1"/>
    </xf>
    <xf numFmtId="0" fontId="26" fillId="0" borderId="0" xfId="0" applyFont="1"/>
    <xf numFmtId="7" fontId="26" fillId="0" borderId="0" xfId="0" applyNumberFormat="1" applyFont="1" applyProtection="1"/>
    <xf numFmtId="0" fontId="26" fillId="10" borderId="0" xfId="0" applyFont="1" applyFill="1"/>
    <xf numFmtId="7" fontId="26" fillId="0" borderId="0" xfId="0" applyNumberFormat="1" applyFont="1" applyBorder="1" applyProtection="1"/>
    <xf numFmtId="0" fontId="26" fillId="0" borderId="0" xfId="0" applyFont="1" applyFill="1" applyBorder="1" applyProtection="1"/>
    <xf numFmtId="7" fontId="26" fillId="3" borderId="22" xfId="0" applyNumberFormat="1" applyFont="1" applyFill="1" applyBorder="1" applyAlignment="1" applyProtection="1">
      <alignment horizontal="center"/>
    </xf>
    <xf numFmtId="0" fontId="26" fillId="3" borderId="23" xfId="0" applyFont="1" applyFill="1" applyBorder="1" applyAlignment="1" applyProtection="1">
      <alignment horizontal="center"/>
    </xf>
    <xf numFmtId="5" fontId="26" fillId="0" borderId="0" xfId="0" applyNumberFormat="1" applyFont="1" applyBorder="1" applyProtection="1"/>
    <xf numFmtId="37" fontId="26" fillId="4" borderId="8" xfId="0" applyNumberFormat="1" applyFont="1" applyFill="1" applyBorder="1" applyAlignment="1" applyProtection="1">
      <alignment horizontal="center"/>
      <protection locked="0"/>
    </xf>
    <xf numFmtId="7" fontId="26" fillId="0" borderId="0" xfId="0" applyNumberFormat="1" applyFont="1" applyBorder="1" applyAlignment="1" applyProtection="1">
      <alignment horizontal="center"/>
    </xf>
    <xf numFmtId="37" fontId="26" fillId="6" borderId="8" xfId="0" applyNumberFormat="1" applyFont="1" applyFill="1" applyBorder="1" applyAlignment="1" applyProtection="1">
      <alignment horizontal="center"/>
    </xf>
    <xf numFmtId="37" fontId="26" fillId="4" borderId="8" xfId="0" applyNumberFormat="1" applyFont="1" applyFill="1" applyBorder="1" applyAlignment="1" applyProtection="1">
      <alignment horizontal="center"/>
    </xf>
    <xf numFmtId="5" fontId="26" fillId="0" borderId="0" xfId="0" applyNumberFormat="1" applyFont="1" applyBorder="1" applyAlignment="1" applyProtection="1">
      <alignment horizontal="center"/>
    </xf>
    <xf numFmtId="0" fontId="26" fillId="0" borderId="8" xfId="0" applyFont="1" applyBorder="1" applyAlignment="1" applyProtection="1">
      <alignment horizontal="left"/>
    </xf>
    <xf numFmtId="37" fontId="26" fillId="3" borderId="33" xfId="0" applyNumberFormat="1" applyFont="1" applyFill="1" applyBorder="1" applyAlignment="1" applyProtection="1">
      <alignment horizontal="center"/>
    </xf>
    <xf numFmtId="37" fontId="26" fillId="3" borderId="20" xfId="0" applyNumberFormat="1" applyFont="1" applyFill="1" applyBorder="1" applyAlignment="1" applyProtection="1">
      <alignment horizontal="center"/>
    </xf>
    <xf numFmtId="0" fontId="26" fillId="10" borderId="0" xfId="0" applyFont="1" applyFill="1" applyBorder="1"/>
    <xf numFmtId="10" fontId="26" fillId="0" borderId="0" xfId="0" applyNumberFormat="1" applyFont="1" applyBorder="1" applyAlignment="1">
      <alignment horizontal="right"/>
    </xf>
    <xf numFmtId="0" fontId="26" fillId="0" borderId="0" xfId="0" applyFont="1" applyBorder="1"/>
    <xf numFmtId="0" fontId="26" fillId="0" borderId="0" xfId="0" applyFont="1" applyBorder="1" applyAlignment="1">
      <alignment horizontal="centerContinuous"/>
    </xf>
    <xf numFmtId="0" fontId="29" fillId="0" borderId="0" xfId="0" applyFont="1" applyBorder="1"/>
    <xf numFmtId="164" fontId="26" fillId="0" borderId="0" xfId="0" applyNumberFormat="1" applyFont="1" applyAlignment="1" applyProtection="1">
      <alignment horizontal="center"/>
    </xf>
    <xf numFmtId="164" fontId="26" fillId="0" borderId="0" xfId="0" applyNumberFormat="1" applyFont="1" applyProtection="1"/>
    <xf numFmtId="0" fontId="26" fillId="3" borderId="22" xfId="0" applyFont="1" applyFill="1" applyBorder="1" applyProtection="1"/>
    <xf numFmtId="7" fontId="26" fillId="5" borderId="0" xfId="0" applyNumberFormat="1" applyFont="1" applyFill="1" applyBorder="1" applyAlignment="1" applyProtection="1">
      <alignment horizontal="center"/>
    </xf>
    <xf numFmtId="164" fontId="26" fillId="0" borderId="0" xfId="0" applyNumberFormat="1" applyFont="1" applyBorder="1" applyProtection="1"/>
    <xf numFmtId="0" fontId="26" fillId="3" borderId="23" xfId="0" applyFont="1" applyFill="1" applyBorder="1" applyProtection="1"/>
    <xf numFmtId="0" fontId="26" fillId="5" borderId="0" xfId="0" applyFont="1" applyFill="1" applyBorder="1" applyAlignment="1" applyProtection="1">
      <alignment horizontal="center"/>
    </xf>
    <xf numFmtId="164" fontId="26" fillId="0" borderId="0" xfId="0" applyNumberFormat="1" applyFont="1" applyAlignment="1" applyProtection="1">
      <alignment horizontal="right"/>
    </xf>
    <xf numFmtId="0" fontId="26" fillId="0" borderId="13" xfId="0" applyFont="1" applyBorder="1" applyAlignment="1" applyProtection="1">
      <alignment wrapText="1"/>
    </xf>
    <xf numFmtId="7" fontId="26" fillId="4" borderId="13" xfId="0" applyNumberFormat="1" applyFont="1" applyFill="1" applyBorder="1" applyAlignment="1" applyProtection="1">
      <alignment horizontal="right"/>
      <protection locked="0"/>
    </xf>
    <xf numFmtId="7" fontId="26" fillId="0" borderId="13" xfId="0" applyNumberFormat="1" applyFont="1" applyBorder="1" applyAlignment="1" applyProtection="1">
      <alignment horizontal="center"/>
    </xf>
    <xf numFmtId="7" fontId="26" fillId="6" borderId="13" xfId="0" applyNumberFormat="1" applyFont="1" applyFill="1" applyBorder="1" applyAlignment="1" applyProtection="1">
      <alignment horizontal="right"/>
    </xf>
    <xf numFmtId="0" fontId="26" fillId="0" borderId="11" xfId="0" applyFont="1" applyBorder="1" applyAlignment="1" applyProtection="1">
      <alignment wrapText="1"/>
    </xf>
    <xf numFmtId="7" fontId="26" fillId="4" borderId="11" xfId="0" applyNumberFormat="1" applyFont="1" applyFill="1" applyBorder="1" applyAlignment="1" applyProtection="1">
      <protection locked="0"/>
    </xf>
    <xf numFmtId="7" fontId="26" fillId="6" borderId="11" xfId="0" applyNumberFormat="1" applyFont="1" applyFill="1" applyBorder="1" applyAlignment="1" applyProtection="1"/>
    <xf numFmtId="7" fontId="26" fillId="0" borderId="0" xfId="0" applyNumberFormat="1" applyFont="1" applyBorder="1" applyAlignment="1" applyProtection="1">
      <alignment horizontal="right"/>
    </xf>
    <xf numFmtId="0" fontId="26" fillId="0" borderId="13" xfId="0" applyFont="1" applyBorder="1" applyAlignment="1" applyProtection="1"/>
    <xf numFmtId="7" fontId="26" fillId="4" borderId="11" xfId="0" applyNumberFormat="1" applyFont="1" applyFill="1" applyBorder="1" applyAlignment="1" applyProtection="1">
      <alignment horizontal="right"/>
      <protection locked="0"/>
    </xf>
    <xf numFmtId="7" fontId="26" fillId="6" borderId="11" xfId="0" applyNumberFormat="1" applyFont="1" applyFill="1" applyBorder="1" applyAlignment="1" applyProtection="1">
      <alignment horizontal="right"/>
    </xf>
    <xf numFmtId="7" fontId="26" fillId="0" borderId="23" xfId="0" applyNumberFormat="1" applyFont="1" applyBorder="1" applyAlignment="1" applyProtection="1">
      <alignment horizontal="center"/>
    </xf>
    <xf numFmtId="7" fontId="26" fillId="4" borderId="13" xfId="0" applyNumberFormat="1" applyFont="1" applyFill="1" applyBorder="1" applyProtection="1">
      <protection locked="0"/>
    </xf>
    <xf numFmtId="7" fontId="26" fillId="6" borderId="13" xfId="0" applyNumberFormat="1" applyFont="1" applyFill="1" applyBorder="1" applyProtection="1"/>
    <xf numFmtId="7" fontId="26" fillId="10" borderId="0" xfId="0" applyNumberFormat="1" applyFont="1" applyFill="1" applyAlignment="1" applyProtection="1">
      <alignment wrapText="1"/>
    </xf>
    <xf numFmtId="0" fontId="26" fillId="0" borderId="13" xfId="0" applyFont="1" applyFill="1" applyBorder="1" applyAlignment="1" applyProtection="1">
      <alignment wrapText="1"/>
    </xf>
    <xf numFmtId="7" fontId="26" fillId="3" borderId="13" xfId="0" applyNumberFormat="1" applyFont="1" applyFill="1" applyBorder="1" applyAlignment="1" applyProtection="1">
      <alignment horizontal="right"/>
    </xf>
    <xf numFmtId="7" fontId="26" fillId="0" borderId="23" xfId="0" applyNumberFormat="1" applyFont="1" applyBorder="1" applyAlignment="1" applyProtection="1">
      <alignment horizontal="right"/>
    </xf>
    <xf numFmtId="7" fontId="26" fillId="3" borderId="15" xfId="0" applyNumberFormat="1" applyFont="1" applyFill="1" applyBorder="1" applyAlignment="1" applyProtection="1">
      <alignment horizontal="right"/>
    </xf>
    <xf numFmtId="7" fontId="26" fillId="0" borderId="23" xfId="0" applyNumberFormat="1" applyFont="1" applyBorder="1" applyAlignment="1" applyProtection="1">
      <alignment horizontal="left"/>
    </xf>
    <xf numFmtId="0" fontId="34" fillId="0" borderId="0" xfId="0" applyFont="1" applyBorder="1" applyAlignment="1" applyProtection="1">
      <alignment wrapText="1"/>
    </xf>
    <xf numFmtId="0" fontId="29" fillId="0" borderId="0" xfId="0" applyFont="1" applyBorder="1" applyAlignment="1" applyProtection="1"/>
    <xf numFmtId="0" fontId="34" fillId="0" borderId="0" xfId="0" applyFont="1" applyBorder="1" applyAlignment="1" applyProtection="1">
      <alignment horizontal="center" wrapText="1"/>
    </xf>
    <xf numFmtId="0" fontId="34" fillId="0" borderId="0" xfId="0" applyFont="1" applyBorder="1" applyAlignment="1" applyProtection="1"/>
    <xf numFmtId="0" fontId="26" fillId="0" borderId="0" xfId="0" applyFont="1" applyAlignment="1" applyProtection="1">
      <alignment wrapText="1"/>
    </xf>
    <xf numFmtId="164" fontId="26" fillId="0" borderId="0" xfId="0" applyNumberFormat="1" applyFont="1" applyAlignment="1" applyProtection="1">
      <alignment horizontal="right" vertical="top"/>
    </xf>
    <xf numFmtId="0" fontId="26" fillId="0" borderId="23" xfId="0" applyFont="1" applyBorder="1" applyAlignment="1" applyProtection="1">
      <alignment vertical="top" wrapText="1"/>
    </xf>
    <xf numFmtId="7" fontId="26" fillId="0" borderId="0" xfId="0" applyNumberFormat="1" applyFont="1" applyFill="1" applyBorder="1" applyProtection="1"/>
    <xf numFmtId="7" fontId="26" fillId="0" borderId="0" xfId="0" applyNumberFormat="1" applyFont="1" applyFill="1" applyBorder="1" applyAlignment="1" applyProtection="1">
      <alignment horizontal="right"/>
    </xf>
    <xf numFmtId="0" fontId="26" fillId="6" borderId="13" xfId="0" applyFont="1" applyFill="1" applyBorder="1" applyAlignment="1" applyProtection="1">
      <alignment wrapText="1"/>
    </xf>
    <xf numFmtId="0" fontId="26" fillId="6" borderId="13" xfId="0" applyFont="1" applyFill="1" applyBorder="1" applyAlignment="1" applyProtection="1"/>
    <xf numFmtId="0" fontId="26" fillId="0" borderId="11" xfId="0" applyFont="1" applyBorder="1" applyAlignment="1" applyProtection="1"/>
    <xf numFmtId="0" fontId="26" fillId="6" borderId="11" xfId="0" applyFont="1" applyFill="1" applyBorder="1" applyAlignment="1" applyProtection="1"/>
    <xf numFmtId="0" fontId="26" fillId="6" borderId="11" xfId="0" applyFont="1" applyFill="1" applyBorder="1" applyAlignment="1" applyProtection="1">
      <alignment wrapText="1"/>
    </xf>
    <xf numFmtId="7" fontId="26" fillId="0" borderId="13" xfId="0" applyNumberFormat="1" applyFont="1" applyFill="1" applyBorder="1" applyAlignment="1" applyProtection="1">
      <alignment horizontal="center"/>
    </xf>
    <xf numFmtId="7" fontId="26" fillId="0" borderId="0" xfId="0" applyNumberFormat="1" applyFont="1" applyFill="1" applyBorder="1" applyAlignment="1" applyProtection="1">
      <alignment horizontal="center"/>
    </xf>
    <xf numFmtId="0" fontId="26" fillId="4" borderId="11" xfId="0" applyFont="1" applyFill="1" applyBorder="1" applyAlignment="1" applyProtection="1">
      <alignment wrapText="1"/>
      <protection locked="0"/>
    </xf>
    <xf numFmtId="0" fontId="26" fillId="4" borderId="13" xfId="0" applyFont="1" applyFill="1" applyBorder="1" applyAlignment="1" applyProtection="1">
      <alignment wrapText="1"/>
      <protection locked="0"/>
    </xf>
    <xf numFmtId="164" fontId="26" fillId="0" borderId="0" xfId="0" applyNumberFormat="1" applyFont="1" applyAlignment="1" applyProtection="1">
      <alignment horizontal="left"/>
    </xf>
    <xf numFmtId="0" fontId="26" fillId="0" borderId="0" xfId="0" applyFont="1" applyBorder="1" applyAlignment="1" applyProtection="1">
      <alignment wrapText="1"/>
    </xf>
    <xf numFmtId="164" fontId="26" fillId="0" borderId="0" xfId="0" applyNumberFormat="1" applyFont="1" applyAlignment="1" applyProtection="1">
      <alignment horizontal="center" vertical="top"/>
    </xf>
    <xf numFmtId="9" fontId="26" fillId="0" borderId="0" xfId="0" applyNumberFormat="1" applyFont="1" applyBorder="1" applyProtection="1"/>
    <xf numFmtId="0" fontId="26" fillId="3" borderId="13" xfId="0" applyFont="1" applyFill="1" applyBorder="1" applyProtection="1"/>
    <xf numFmtId="7" fontId="26" fillId="3" borderId="8" xfId="0" applyNumberFormat="1" applyFont="1" applyFill="1" applyBorder="1" applyProtection="1"/>
    <xf numFmtId="164" fontId="26" fillId="0" borderId="0" xfId="0" applyNumberFormat="1" applyFont="1" applyAlignment="1" applyProtection="1">
      <alignment horizontal="right" vertical="top" wrapText="1"/>
    </xf>
    <xf numFmtId="0" fontId="26" fillId="0" borderId="8" xfId="0" applyFont="1" applyBorder="1" applyAlignment="1" applyProtection="1">
      <alignment wrapText="1"/>
    </xf>
    <xf numFmtId="7" fontId="26" fillId="4" borderId="8" xfId="0" applyNumberFormat="1" applyFont="1" applyFill="1" applyBorder="1" applyProtection="1">
      <protection locked="0"/>
    </xf>
    <xf numFmtId="7" fontId="26" fillId="6" borderId="8" xfId="0" applyNumberFormat="1" applyFont="1" applyFill="1" applyBorder="1" applyProtection="1"/>
    <xf numFmtId="0" fontId="26" fillId="0" borderId="8" xfId="0" applyFont="1" applyBorder="1" applyAlignment="1" applyProtection="1"/>
    <xf numFmtId="7" fontId="26" fillId="4" borderId="8" xfId="0" applyNumberFormat="1" applyFont="1" applyFill="1" applyBorder="1" applyProtection="1"/>
    <xf numFmtId="7" fontId="26" fillId="3" borderId="20" xfId="0" applyNumberFormat="1" applyFont="1" applyFill="1" applyBorder="1" applyProtection="1"/>
    <xf numFmtId="7" fontId="26" fillId="0" borderId="8" xfId="0" applyNumberFormat="1" applyFont="1" applyBorder="1" applyAlignment="1" applyProtection="1">
      <alignment horizontal="center"/>
    </xf>
    <xf numFmtId="167" fontId="26" fillId="4" borderId="8" xfId="0" applyNumberFormat="1" applyFont="1" applyFill="1" applyBorder="1" applyProtection="1">
      <protection locked="0"/>
    </xf>
    <xf numFmtId="167" fontId="26" fillId="4" borderId="8" xfId="0" applyNumberFormat="1" applyFont="1" applyFill="1" applyBorder="1" applyProtection="1"/>
    <xf numFmtId="10" fontId="26" fillId="0" borderId="0" xfId="0" applyNumberFormat="1" applyFont="1" applyBorder="1" applyAlignment="1" applyProtection="1">
      <alignment horizontal="center"/>
    </xf>
    <xf numFmtId="10" fontId="26" fillId="4" borderId="8" xfId="0" applyNumberFormat="1" applyFont="1" applyFill="1" applyBorder="1" applyProtection="1">
      <protection locked="0"/>
    </xf>
    <xf numFmtId="0" fontId="26" fillId="0" borderId="0" xfId="0" applyNumberFormat="1" applyFont="1" applyBorder="1" applyProtection="1"/>
    <xf numFmtId="10" fontId="26" fillId="6" borderId="8" xfId="0" applyNumberFormat="1" applyFont="1" applyFill="1" applyBorder="1" applyProtection="1"/>
    <xf numFmtId="5" fontId="26" fillId="3" borderId="11" xfId="0" applyNumberFormat="1" applyFont="1" applyFill="1" applyBorder="1" applyProtection="1"/>
    <xf numFmtId="0" fontId="26" fillId="3" borderId="7" xfId="0" applyFont="1" applyFill="1" applyBorder="1" applyProtection="1"/>
    <xf numFmtId="0" fontId="26" fillId="3" borderId="2" xfId="0" applyFont="1" applyFill="1" applyBorder="1" applyProtection="1"/>
    <xf numFmtId="0" fontId="26" fillId="3" borderId="3" xfId="0" applyFont="1" applyFill="1" applyBorder="1" applyAlignment="1" applyProtection="1">
      <alignment horizontal="center"/>
    </xf>
    <xf numFmtId="10" fontId="26" fillId="0" borderId="0" xfId="0" applyNumberFormat="1" applyFont="1" applyBorder="1" applyAlignment="1" applyProtection="1">
      <alignment horizontal="right"/>
    </xf>
    <xf numFmtId="0" fontId="26" fillId="0" borderId="30" xfId="0" applyFont="1" applyBorder="1" applyAlignment="1" applyProtection="1">
      <alignment horizontal="centerContinuous"/>
    </xf>
    <xf numFmtId="0" fontId="26" fillId="0" borderId="30" xfId="0" applyFont="1" applyBorder="1" applyProtection="1"/>
    <xf numFmtId="0" fontId="26" fillId="3" borderId="22" xfId="0" applyFont="1" applyFill="1" applyBorder="1" applyAlignment="1" applyProtection="1"/>
    <xf numFmtId="5" fontId="26" fillId="6" borderId="11" xfId="0" applyNumberFormat="1" applyFont="1" applyFill="1" applyBorder="1" applyProtection="1"/>
    <xf numFmtId="0" fontId="26" fillId="10" borderId="0" xfId="0" applyFont="1" applyFill="1" applyBorder="1" applyAlignment="1" applyProtection="1">
      <alignment horizontal="centerContinuous"/>
    </xf>
    <xf numFmtId="0" fontId="26" fillId="10" borderId="30" xfId="0" applyFont="1" applyFill="1" applyBorder="1" applyProtection="1"/>
    <xf numFmtId="0" fontId="26" fillId="0" borderId="0" xfId="0" applyFont="1" applyAlignment="1" applyProtection="1">
      <alignment horizontal="left"/>
    </xf>
    <xf numFmtId="0" fontId="29" fillId="0" borderId="0" xfId="0" applyFont="1" applyAlignment="1" applyProtection="1">
      <alignment horizontal="centerContinuous"/>
    </xf>
    <xf numFmtId="0" fontId="26" fillId="4" borderId="11" xfId="0" applyFont="1" applyFill="1" applyBorder="1" applyAlignment="1" applyProtection="1">
      <alignment horizontal="center"/>
      <protection locked="0"/>
    </xf>
    <xf numFmtId="0" fontId="27" fillId="0" borderId="0" xfId="0" applyFont="1" applyAlignment="1" applyProtection="1">
      <alignment horizontal="left"/>
    </xf>
    <xf numFmtId="0" fontId="26" fillId="0" borderId="0" xfId="0" applyFont="1" applyAlignment="1" applyProtection="1">
      <alignment horizontal="right" vertical="top"/>
    </xf>
    <xf numFmtId="0" fontId="26" fillId="0" borderId="0" xfId="0" applyFont="1" applyAlignment="1" applyProtection="1">
      <alignment horizontal="left" vertical="top"/>
    </xf>
    <xf numFmtId="0" fontId="26" fillId="0" borderId="0" xfId="0" applyFont="1" applyBorder="1" applyAlignment="1" applyProtection="1">
      <alignment horizontal="left" vertical="top" wrapText="1"/>
    </xf>
    <xf numFmtId="7" fontId="26" fillId="0" borderId="0" xfId="0" applyNumberFormat="1" applyFont="1" applyBorder="1" applyAlignment="1" applyProtection="1">
      <alignment horizontal="centerContinuous"/>
    </xf>
    <xf numFmtId="0" fontId="26" fillId="0" borderId="0" xfId="0" applyFont="1" applyBorder="1" applyAlignment="1" applyProtection="1">
      <alignment horizontal="left" vertical="top"/>
    </xf>
    <xf numFmtId="1" fontId="26" fillId="0" borderId="0" xfId="0" applyNumberFormat="1" applyFont="1" applyBorder="1" applyAlignment="1" applyProtection="1">
      <alignment horizontal="centerContinuous"/>
    </xf>
    <xf numFmtId="0" fontId="29" fillId="0" borderId="0" xfId="0" applyFont="1" applyBorder="1" applyAlignment="1" applyProtection="1">
      <alignment horizontal="centerContinuous"/>
    </xf>
    <xf numFmtId="0" fontId="29" fillId="0" borderId="0" xfId="0" applyFont="1" applyAlignment="1" applyProtection="1">
      <alignment horizontal="right" vertical="top"/>
    </xf>
    <xf numFmtId="0" fontId="26" fillId="0" borderId="0" xfId="0" applyFont="1" applyAlignment="1" applyProtection="1">
      <alignment vertical="center" wrapText="1"/>
    </xf>
    <xf numFmtId="0" fontId="26" fillId="0" borderId="0" xfId="0" applyFont="1" applyAlignment="1" applyProtection="1">
      <alignment horizontal="center" vertical="center"/>
    </xf>
    <xf numFmtId="0" fontId="26" fillId="0" borderId="0" xfId="0" applyFont="1" applyAlignment="1" applyProtection="1">
      <alignment vertical="center"/>
    </xf>
    <xf numFmtId="0" fontId="26" fillId="10" borderId="0" xfId="0" applyFont="1" applyFill="1" applyAlignment="1" applyProtection="1">
      <alignment vertical="center"/>
    </xf>
    <xf numFmtId="0" fontId="26" fillId="0" borderId="0" xfId="0" applyFont="1" applyAlignment="1" applyProtection="1">
      <alignment horizontal="left" vertical="center"/>
    </xf>
    <xf numFmtId="0" fontId="26" fillId="3" borderId="10" xfId="0" applyFont="1" applyFill="1" applyBorder="1" applyAlignment="1" applyProtection="1">
      <alignment horizontal="centerContinuous"/>
    </xf>
    <xf numFmtId="0" fontId="26" fillId="3" borderId="9" xfId="0" applyFont="1" applyFill="1" applyBorder="1" applyAlignment="1" applyProtection="1">
      <alignment horizontal="centerContinuous"/>
    </xf>
    <xf numFmtId="0" fontId="26" fillId="3" borderId="11" xfId="0" applyFont="1" applyFill="1" applyBorder="1" applyAlignment="1" applyProtection="1">
      <alignment horizontal="center" vertical="center" wrapText="1"/>
    </xf>
    <xf numFmtId="176" fontId="26" fillId="4" borderId="22" xfId="0" applyNumberFormat="1" applyFont="1" applyFill="1" applyBorder="1" applyAlignment="1" applyProtection="1">
      <protection locked="0"/>
    </xf>
    <xf numFmtId="176" fontId="26" fillId="3" borderId="6" xfId="0" applyNumberFormat="1" applyFont="1" applyFill="1" applyBorder="1" applyAlignment="1" applyProtection="1">
      <alignment vertical="center"/>
    </xf>
    <xf numFmtId="5" fontId="26" fillId="4" borderId="22" xfId="0" applyNumberFormat="1" applyFont="1" applyFill="1" applyBorder="1" applyAlignment="1" applyProtection="1"/>
    <xf numFmtId="176" fontId="26" fillId="3" borderId="6" xfId="0" applyNumberFormat="1" applyFont="1" applyFill="1" applyBorder="1" applyAlignment="1" applyProtection="1">
      <alignment vertical="center" wrapText="1"/>
    </xf>
    <xf numFmtId="176" fontId="26" fillId="4" borderId="11" xfId="0" applyNumberFormat="1" applyFont="1" applyFill="1" applyBorder="1" applyAlignment="1" applyProtection="1">
      <protection locked="0"/>
    </xf>
    <xf numFmtId="5" fontId="26" fillId="4" borderId="11" xfId="0" applyNumberFormat="1" applyFont="1" applyFill="1" applyBorder="1" applyAlignment="1" applyProtection="1"/>
    <xf numFmtId="176" fontId="26" fillId="6" borderId="6" xfId="0" applyNumberFormat="1" applyFont="1" applyFill="1" applyBorder="1" applyAlignment="1" applyProtection="1">
      <alignment vertical="center" wrapText="1"/>
    </xf>
    <xf numFmtId="176" fontId="26" fillId="3" borderId="15" xfId="0" applyNumberFormat="1" applyFont="1" applyFill="1" applyBorder="1" applyAlignment="1" applyProtection="1"/>
    <xf numFmtId="176" fontId="26" fillId="3" borderId="11" xfId="0" applyNumberFormat="1" applyFont="1" applyFill="1" applyBorder="1" applyAlignment="1" applyProtection="1"/>
    <xf numFmtId="5" fontId="26" fillId="3" borderId="15" xfId="0" applyNumberFormat="1" applyFont="1" applyFill="1" applyBorder="1" applyAlignment="1" applyProtection="1"/>
    <xf numFmtId="0" fontId="26" fillId="0" borderId="0" xfId="0" applyFont="1" applyBorder="1" applyAlignment="1" applyProtection="1">
      <alignment horizontal="center" vertical="top"/>
    </xf>
    <xf numFmtId="0" fontId="26" fillId="3" borderId="11" xfId="0" applyFont="1" applyFill="1" applyBorder="1" applyAlignment="1" applyProtection="1">
      <alignment horizontal="center"/>
    </xf>
    <xf numFmtId="0" fontId="26" fillId="10" borderId="0" xfId="0" applyFont="1" applyFill="1" applyBorder="1" applyAlignment="1" applyProtection="1"/>
    <xf numFmtId="0" fontId="26" fillId="10" borderId="0" xfId="0" applyNumberFormat="1" applyFont="1" applyFill="1" applyBorder="1" applyAlignment="1" applyProtection="1"/>
    <xf numFmtId="0" fontId="26" fillId="0" borderId="0" xfId="0" applyNumberFormat="1" applyFont="1" applyFill="1" applyBorder="1" applyAlignment="1" applyProtection="1"/>
    <xf numFmtId="14" fontId="26" fillId="4" borderId="11" xfId="0" applyNumberFormat="1" applyFont="1" applyFill="1" applyBorder="1" applyAlignment="1" applyProtection="1">
      <alignment horizontal="center"/>
      <protection locked="0"/>
    </xf>
    <xf numFmtId="14" fontId="26" fillId="4" borderId="11" xfId="0" applyNumberFormat="1" applyFont="1" applyFill="1" applyBorder="1" applyAlignment="1" applyProtection="1">
      <alignment horizontal="center"/>
    </xf>
    <xf numFmtId="14" fontId="26" fillId="10" borderId="0" xfId="0" applyNumberFormat="1" applyFont="1" applyFill="1" applyBorder="1" applyAlignment="1" applyProtection="1"/>
    <xf numFmtId="14" fontId="26" fillId="0" borderId="0" xfId="0" applyNumberFormat="1" applyFont="1" applyFill="1" applyBorder="1" applyAlignment="1" applyProtection="1"/>
    <xf numFmtId="0" fontId="26" fillId="4" borderId="11" xfId="0" applyNumberFormat="1" applyFont="1" applyFill="1" applyBorder="1" applyAlignment="1" applyProtection="1">
      <alignment horizontal="center"/>
    </xf>
    <xf numFmtId="174" fontId="26" fillId="4" borderId="11" xfId="0" applyNumberFormat="1" applyFont="1" applyFill="1" applyBorder="1" applyAlignment="1" applyProtection="1">
      <alignment horizontal="center"/>
      <protection locked="0"/>
    </xf>
    <xf numFmtId="0" fontId="26" fillId="0" borderId="0" xfId="0" applyNumberFormat="1" applyFont="1" applyAlignment="1" applyProtection="1">
      <alignment horizontal="left"/>
    </xf>
    <xf numFmtId="0" fontId="26" fillId="0" borderId="0" xfId="0" applyNumberFormat="1" applyFont="1" applyFill="1" applyBorder="1" applyAlignment="1" applyProtection="1">
      <alignment horizontal="left"/>
    </xf>
    <xf numFmtId="7" fontId="26" fillId="3" borderId="11" xfId="0" applyNumberFormat="1" applyFont="1" applyFill="1" applyBorder="1" applyAlignment="1" applyProtection="1"/>
    <xf numFmtId="44" fontId="26" fillId="10" borderId="0" xfId="0" applyNumberFormat="1" applyFont="1" applyFill="1" applyBorder="1" applyAlignment="1" applyProtection="1"/>
    <xf numFmtId="44" fontId="26" fillId="0" borderId="0" xfId="0" applyNumberFormat="1" applyFont="1" applyFill="1" applyBorder="1" applyAlignment="1" applyProtection="1"/>
    <xf numFmtId="165" fontId="26" fillId="4" borderId="11" xfId="0" applyNumberFormat="1" applyFont="1" applyFill="1" applyBorder="1" applyAlignment="1" applyProtection="1">
      <protection locked="0"/>
    </xf>
    <xf numFmtId="165" fontId="26" fillId="6" borderId="11" xfId="0" applyNumberFormat="1" applyFont="1" applyFill="1" applyBorder="1" applyAlignment="1" applyProtection="1"/>
    <xf numFmtId="165" fontId="26" fillId="10" borderId="0" xfId="0" applyNumberFormat="1" applyFont="1" applyFill="1" applyBorder="1" applyAlignment="1" applyProtection="1"/>
    <xf numFmtId="165" fontId="26" fillId="0" borderId="0" xfId="0" applyNumberFormat="1" applyFont="1" applyFill="1" applyBorder="1" applyAlignment="1" applyProtection="1"/>
    <xf numFmtId="44" fontId="26" fillId="6" borderId="32" xfId="1" applyFont="1" applyFill="1" applyBorder="1" applyProtection="1"/>
    <xf numFmtId="0" fontId="26" fillId="12" borderId="11" xfId="0" applyFont="1" applyFill="1" applyBorder="1" applyAlignment="1" applyProtection="1"/>
    <xf numFmtId="0" fontId="26" fillId="3" borderId="11" xfId="0" applyFont="1" applyFill="1" applyBorder="1" applyAlignment="1" applyProtection="1"/>
    <xf numFmtId="172" fontId="26" fillId="3" borderId="11" xfId="0" applyNumberFormat="1" applyFont="1" applyFill="1" applyBorder="1" applyAlignment="1" applyProtection="1"/>
    <xf numFmtId="172" fontId="26" fillId="6" borderId="11" xfId="0" applyNumberFormat="1" applyFont="1" applyFill="1" applyBorder="1" applyAlignment="1" applyProtection="1"/>
    <xf numFmtId="7" fontId="26" fillId="4" borderId="11" xfId="0" applyNumberFormat="1" applyFont="1" applyFill="1" applyBorder="1" applyAlignment="1" applyProtection="1"/>
    <xf numFmtId="10" fontId="26" fillId="2" borderId="0" xfId="0" applyNumberFormat="1" applyFont="1" applyFill="1" applyBorder="1" applyAlignment="1" applyProtection="1">
      <alignment horizontal="center"/>
    </xf>
    <xf numFmtId="0" fontId="26" fillId="10" borderId="0" xfId="0" applyNumberFormat="1" applyFont="1" applyFill="1" applyBorder="1" applyAlignment="1" applyProtection="1">
      <alignment horizontal="center"/>
    </xf>
    <xf numFmtId="0" fontId="26" fillId="0" borderId="0" xfId="0" applyNumberFormat="1" applyFont="1" applyFill="1" applyBorder="1" applyAlignment="1" applyProtection="1">
      <alignment horizontal="center"/>
    </xf>
    <xf numFmtId="10" fontId="26" fillId="0" borderId="0" xfId="0" applyNumberFormat="1" applyFont="1" applyFill="1" applyBorder="1" applyAlignment="1" applyProtection="1">
      <alignment horizontal="center"/>
    </xf>
    <xf numFmtId="0" fontId="29" fillId="0" borderId="0" xfId="0" applyFont="1" applyFill="1" applyBorder="1" applyProtection="1"/>
    <xf numFmtId="0" fontId="26" fillId="10" borderId="0" xfId="0" applyNumberFormat="1" applyFont="1" applyFill="1" applyBorder="1" applyAlignment="1" applyProtection="1">
      <alignment horizontal="left"/>
    </xf>
    <xf numFmtId="165" fontId="26" fillId="3" borderId="16" xfId="0" applyNumberFormat="1" applyFont="1" applyFill="1" applyBorder="1" applyAlignment="1" applyProtection="1"/>
    <xf numFmtId="0" fontId="26" fillId="10" borderId="0" xfId="0" applyNumberFormat="1" applyFont="1" applyFill="1" applyAlignment="1" applyProtection="1">
      <alignment horizontal="left"/>
    </xf>
    <xf numFmtId="0" fontId="26" fillId="0" borderId="0" xfId="0" applyFont="1" applyAlignment="1" applyProtection="1">
      <alignment vertical="top" wrapText="1"/>
    </xf>
    <xf numFmtId="0" fontId="26" fillId="10" borderId="0" xfId="0" applyFont="1" applyFill="1" applyAlignment="1" applyProtection="1">
      <alignment vertical="top" wrapText="1"/>
    </xf>
    <xf numFmtId="0" fontId="30" fillId="0" borderId="0" xfId="0" applyFont="1" applyAlignment="1" applyProtection="1">
      <alignment horizontal="center" wrapText="1"/>
    </xf>
    <xf numFmtId="176" fontId="26" fillId="3" borderId="22" xfId="0" applyNumberFormat="1" applyFont="1" applyFill="1" applyBorder="1" applyAlignment="1" applyProtection="1"/>
    <xf numFmtId="0" fontId="26" fillId="10" borderId="0" xfId="0" applyFont="1" applyFill="1" applyAlignment="1" applyProtection="1">
      <alignment horizontal="left"/>
    </xf>
    <xf numFmtId="0" fontId="26" fillId="0" borderId="0" xfId="0" applyFont="1" applyFill="1" applyAlignment="1" applyProtection="1">
      <alignment horizontal="left"/>
    </xf>
    <xf numFmtId="170" fontId="26" fillId="4" borderId="11" xfId="0" applyNumberFormat="1" applyFont="1" applyFill="1" applyBorder="1" applyAlignment="1" applyProtection="1">
      <protection locked="0"/>
    </xf>
    <xf numFmtId="7" fontId="26" fillId="0" borderId="0" xfId="0" applyNumberFormat="1" applyFont="1" applyAlignment="1" applyProtection="1">
      <alignment horizontal="center"/>
    </xf>
    <xf numFmtId="170" fontId="26" fillId="0" borderId="0" xfId="0" applyNumberFormat="1" applyFont="1" applyAlignment="1" applyProtection="1">
      <alignment horizontal="center"/>
    </xf>
    <xf numFmtId="170" fontId="26" fillId="3" borderId="11" xfId="0" applyNumberFormat="1" applyFont="1" applyFill="1" applyBorder="1" applyAlignment="1" applyProtection="1"/>
    <xf numFmtId="0" fontId="26" fillId="0" borderId="7" xfId="0" applyFont="1" applyFill="1" applyBorder="1" applyAlignment="1" applyProtection="1"/>
    <xf numFmtId="0" fontId="29" fillId="0" borderId="7" xfId="0" applyFont="1" applyFill="1" applyBorder="1" applyAlignment="1" applyProtection="1"/>
    <xf numFmtId="0" fontId="26" fillId="0" borderId="7" xfId="0" applyFont="1" applyFill="1" applyBorder="1" applyAlignment="1" applyProtection="1">
      <alignment horizontal="left"/>
    </xf>
    <xf numFmtId="7" fontId="26" fillId="0" borderId="2" xfId="0" applyNumberFormat="1" applyFont="1" applyFill="1" applyBorder="1" applyAlignment="1" applyProtection="1"/>
    <xf numFmtId="170" fontId="26" fillId="3" borderId="16" xfId="0" applyNumberFormat="1" applyFont="1" applyFill="1" applyBorder="1" applyAlignment="1" applyProtection="1"/>
    <xf numFmtId="7" fontId="26" fillId="3" borderId="16" xfId="0" applyNumberFormat="1" applyFont="1" applyFill="1" applyBorder="1" applyAlignment="1" applyProtection="1"/>
    <xf numFmtId="0" fontId="26" fillId="10" borderId="0" xfId="0" applyFont="1" applyFill="1" applyBorder="1" applyAlignment="1" applyProtection="1">
      <alignment horizontal="left"/>
    </xf>
    <xf numFmtId="0" fontId="26" fillId="0" borderId="0" xfId="0" applyFont="1" applyFill="1" applyBorder="1" applyAlignment="1" applyProtection="1">
      <alignment horizontal="left"/>
    </xf>
    <xf numFmtId="0" fontId="26" fillId="3" borderId="4" xfId="0" applyFont="1" applyFill="1" applyBorder="1" applyAlignment="1" applyProtection="1">
      <alignment horizontal="center"/>
    </xf>
    <xf numFmtId="7" fontId="26" fillId="0" borderId="0" xfId="1" applyNumberFormat="1" applyFont="1" applyBorder="1" applyAlignment="1" applyProtection="1">
      <alignment horizontal="center"/>
    </xf>
    <xf numFmtId="44" fontId="26" fillId="0" borderId="11" xfId="0" applyNumberFormat="1" applyFont="1" applyBorder="1" applyAlignment="1" applyProtection="1">
      <alignment horizontal="center" wrapText="1"/>
    </xf>
    <xf numFmtId="0" fontId="26" fillId="4" borderId="10" xfId="0" applyFont="1" applyFill="1" applyBorder="1" applyAlignment="1" applyProtection="1">
      <alignment horizontal="center"/>
    </xf>
    <xf numFmtId="0" fontId="26" fillId="0" borderId="7" xfId="0" applyFont="1" applyBorder="1" applyAlignment="1" applyProtection="1"/>
    <xf numFmtId="7" fontId="26" fillId="0" borderId="7" xfId="0" applyNumberFormat="1" applyFont="1" applyFill="1" applyBorder="1" applyAlignment="1" applyProtection="1"/>
    <xf numFmtId="170" fontId="26" fillId="3" borderId="16" xfId="0" applyNumberFormat="1" applyFont="1" applyFill="1" applyBorder="1" applyAlignment="1" applyProtection="1">
      <alignment wrapText="1"/>
    </xf>
    <xf numFmtId="7" fontId="26" fillId="3" borderId="16" xfId="0" applyNumberFormat="1" applyFont="1" applyFill="1" applyBorder="1" applyAlignment="1" applyProtection="1">
      <alignment wrapText="1"/>
    </xf>
    <xf numFmtId="7" fontId="26" fillId="6" borderId="0" xfId="0" applyNumberFormat="1" applyFont="1" applyFill="1" applyAlignment="1" applyProtection="1">
      <alignment horizontal="center"/>
    </xf>
    <xf numFmtId="0" fontId="26" fillId="11" borderId="0" xfId="0" applyFont="1" applyFill="1" applyAlignment="1" applyProtection="1">
      <alignment horizontal="center"/>
    </xf>
    <xf numFmtId="0" fontId="36" fillId="11" borderId="0" xfId="0" applyFont="1" applyFill="1" applyProtection="1"/>
    <xf numFmtId="7" fontId="26" fillId="4" borderId="12" xfId="0" applyNumberFormat="1" applyFont="1" applyFill="1" applyBorder="1" applyAlignment="1" applyProtection="1">
      <alignment horizontal="center"/>
      <protection locked="0"/>
    </xf>
    <xf numFmtId="0" fontId="26" fillId="4" borderId="11" xfId="0" applyFont="1" applyFill="1" applyBorder="1" applyAlignment="1" applyProtection="1">
      <alignment horizontal="center"/>
    </xf>
    <xf numFmtId="7" fontId="26" fillId="4" borderId="12" xfId="0" applyNumberFormat="1" applyFont="1" applyFill="1" applyBorder="1" applyAlignment="1" applyProtection="1">
      <alignment horizontal="center"/>
    </xf>
    <xf numFmtId="7" fontId="26" fillId="4" borderId="6" xfId="0" applyNumberFormat="1" applyFont="1" applyFill="1" applyBorder="1" applyAlignment="1" applyProtection="1">
      <alignment horizontal="center"/>
    </xf>
    <xf numFmtId="7" fontId="26" fillId="3" borderId="17" xfId="0" applyNumberFormat="1" applyFont="1" applyFill="1" applyBorder="1" applyAlignment="1" applyProtection="1">
      <alignment horizontal="center"/>
    </xf>
    <xf numFmtId="7" fontId="26" fillId="6" borderId="17" xfId="0" applyNumberFormat="1" applyFont="1" applyFill="1" applyBorder="1" applyAlignment="1" applyProtection="1">
      <alignment horizontal="center"/>
    </xf>
    <xf numFmtId="0" fontId="26" fillId="4" borderId="8" xfId="0" applyFont="1" applyFill="1" applyBorder="1" applyAlignment="1" applyProtection="1">
      <protection locked="0"/>
    </xf>
    <xf numFmtId="0" fontId="37" fillId="0" borderId="0" xfId="0" applyFont="1" applyFill="1" applyBorder="1" applyAlignment="1" applyProtection="1">
      <alignment horizontal="left"/>
    </xf>
    <xf numFmtId="164" fontId="26" fillId="0" borderId="0" xfId="0" applyNumberFormat="1" applyFont="1" applyFill="1" applyBorder="1" applyAlignment="1" applyProtection="1">
      <alignment horizontal="right"/>
    </xf>
    <xf numFmtId="44" fontId="26" fillId="0" borderId="0" xfId="0" applyNumberFormat="1" applyFont="1" applyFill="1" applyBorder="1" applyAlignment="1" applyProtection="1">
      <alignment horizontal="right"/>
    </xf>
    <xf numFmtId="0" fontId="26" fillId="0" borderId="0" xfId="0" applyFont="1" applyFill="1" applyBorder="1" applyAlignment="1" applyProtection="1">
      <alignment horizontal="center"/>
    </xf>
    <xf numFmtId="0" fontId="26" fillId="0" borderId="0" xfId="0" applyFont="1" applyFill="1" applyBorder="1" applyAlignment="1" applyProtection="1">
      <alignment wrapText="1"/>
    </xf>
    <xf numFmtId="0" fontId="26" fillId="0" borderId="0" xfId="0" applyFont="1" applyFill="1" applyBorder="1" applyAlignment="1" applyProtection="1">
      <alignment horizontal="center" wrapText="1"/>
    </xf>
    <xf numFmtId="0" fontId="29" fillId="0" borderId="0" xfId="0" applyFont="1" applyAlignment="1" applyProtection="1">
      <alignment horizontal="left"/>
    </xf>
    <xf numFmtId="0" fontId="26" fillId="3" borderId="3" xfId="0" applyFont="1" applyFill="1" applyBorder="1" applyAlignment="1" applyProtection="1">
      <alignment horizontal="centerContinuous"/>
    </xf>
    <xf numFmtId="0" fontId="32" fillId="0" borderId="0" xfId="0" applyFont="1" applyBorder="1" applyAlignment="1" applyProtection="1">
      <alignment horizontal="right"/>
    </xf>
    <xf numFmtId="10" fontId="26" fillId="3" borderId="11" xfId="2" applyNumberFormat="1" applyFont="1" applyFill="1" applyBorder="1" applyAlignment="1" applyProtection="1">
      <alignment horizontal="center"/>
    </xf>
    <xf numFmtId="7" fontId="26" fillId="0" borderId="0" xfId="0" applyNumberFormat="1" applyFont="1" applyAlignment="1" applyProtection="1">
      <alignment horizontal="left"/>
    </xf>
    <xf numFmtId="0" fontId="26" fillId="3" borderId="50" xfId="0" applyFont="1" applyFill="1" applyBorder="1" applyAlignment="1" applyProtection="1">
      <alignment horizontal="center"/>
    </xf>
    <xf numFmtId="0" fontId="26" fillId="3" borderId="2" xfId="0" applyFont="1" applyFill="1" applyBorder="1" applyAlignment="1" applyProtection="1">
      <alignment horizontal="center"/>
    </xf>
    <xf numFmtId="0" fontId="26" fillId="3" borderId="36" xfId="0" applyFont="1" applyFill="1" applyBorder="1" applyAlignment="1" applyProtection="1">
      <alignment horizontal="center"/>
    </xf>
    <xf numFmtId="0" fontId="26" fillId="3" borderId="53" xfId="0" applyFont="1" applyFill="1" applyBorder="1" applyAlignment="1" applyProtection="1">
      <alignment horizontal="center"/>
    </xf>
    <xf numFmtId="0" fontId="26" fillId="3" borderId="6" xfId="0" applyFont="1" applyFill="1" applyBorder="1" applyAlignment="1" applyProtection="1">
      <alignment horizontal="center"/>
    </xf>
    <xf numFmtId="0" fontId="26" fillId="10" borderId="0" xfId="0" applyFont="1" applyFill="1" applyAlignment="1" applyProtection="1"/>
    <xf numFmtId="0" fontId="32" fillId="0" borderId="0" xfId="0" applyFont="1" applyAlignment="1" applyProtection="1">
      <alignment horizontal="right"/>
    </xf>
    <xf numFmtId="0" fontId="26" fillId="3" borderId="27" xfId="0" applyFont="1" applyFill="1" applyBorder="1" applyAlignment="1" applyProtection="1">
      <alignment horizontal="center"/>
    </xf>
    <xf numFmtId="1" fontId="26" fillId="3" borderId="51" xfId="0" applyNumberFormat="1" applyFont="1" applyFill="1" applyBorder="1" applyAlignment="1" applyProtection="1">
      <alignment horizontal="center"/>
    </xf>
    <xf numFmtId="7" fontId="26" fillId="3" borderId="37" xfId="0" applyNumberFormat="1" applyFont="1" applyFill="1" applyBorder="1" applyAlignment="1" applyProtection="1">
      <alignment horizontal="center"/>
    </xf>
    <xf numFmtId="7" fontId="26" fillId="3" borderId="52" xfId="0" applyNumberFormat="1" applyFont="1" applyFill="1" applyBorder="1" applyAlignment="1" applyProtection="1">
      <alignment horizontal="center"/>
    </xf>
    <xf numFmtId="0" fontId="26" fillId="3" borderId="54" xfId="0" applyFont="1" applyFill="1" applyBorder="1" applyAlignment="1" applyProtection="1">
      <alignment horizontal="center"/>
    </xf>
    <xf numFmtId="1" fontId="26" fillId="3" borderId="46" xfId="0" applyNumberFormat="1" applyFont="1" applyFill="1" applyBorder="1" applyAlignment="1" applyProtection="1">
      <alignment horizontal="center"/>
    </xf>
    <xf numFmtId="7" fontId="26" fillId="3" borderId="41" xfId="0" applyNumberFormat="1" applyFont="1" applyFill="1" applyBorder="1" applyAlignment="1" applyProtection="1">
      <alignment horizontal="center"/>
    </xf>
    <xf numFmtId="7" fontId="26" fillId="3" borderId="47" xfId="0" applyNumberFormat="1" applyFont="1" applyFill="1" applyBorder="1" applyAlignment="1" applyProtection="1">
      <alignment horizontal="center"/>
    </xf>
    <xf numFmtId="0" fontId="26" fillId="0" borderId="13" xfId="0" applyFont="1" applyBorder="1" applyAlignment="1" applyProtection="1">
      <alignment horizontal="center"/>
    </xf>
    <xf numFmtId="1" fontId="26" fillId="3" borderId="48" xfId="0" applyNumberFormat="1" applyFont="1" applyFill="1" applyBorder="1" applyAlignment="1" applyProtection="1">
      <alignment horizontal="center"/>
    </xf>
    <xf numFmtId="7" fontId="26" fillId="0" borderId="38" xfId="0" applyNumberFormat="1" applyFont="1" applyBorder="1" applyAlignment="1" applyProtection="1">
      <alignment horizontal="left"/>
    </xf>
    <xf numFmtId="7" fontId="26" fillId="3" borderId="49" xfId="0" applyNumberFormat="1" applyFont="1" applyFill="1" applyBorder="1" applyAlignment="1" applyProtection="1">
      <alignment horizontal="center"/>
    </xf>
    <xf numFmtId="0" fontId="26" fillId="0" borderId="3" xfId="0" applyFont="1" applyFill="1" applyBorder="1" applyAlignment="1" applyProtection="1">
      <alignment horizontal="center"/>
    </xf>
    <xf numFmtId="7" fontId="29" fillId="0" borderId="0" xfId="0" applyNumberFormat="1" applyFont="1" applyBorder="1" applyAlignment="1" applyProtection="1">
      <alignment horizontal="centerContinuous"/>
    </xf>
    <xf numFmtId="7" fontId="26" fillId="4" borderId="10" xfId="0" applyNumberFormat="1" applyFont="1" applyFill="1" applyBorder="1" applyAlignment="1" applyProtection="1">
      <alignment horizontal="center"/>
      <protection locked="0"/>
    </xf>
    <xf numFmtId="44" fontId="26" fillId="0" borderId="3" xfId="0" applyNumberFormat="1" applyFont="1" applyFill="1" applyBorder="1" applyAlignment="1" applyProtection="1">
      <alignment horizontal="center"/>
    </xf>
    <xf numFmtId="44" fontId="26" fillId="0" borderId="0" xfId="0" applyNumberFormat="1" applyFont="1" applyFill="1" applyBorder="1" applyAlignment="1" applyProtection="1">
      <alignment horizontal="center"/>
    </xf>
    <xf numFmtId="0" fontId="26" fillId="3" borderId="11" xfId="0" applyFont="1" applyFill="1" applyBorder="1" applyAlignment="1" applyProtection="1">
      <alignment horizontal="right"/>
    </xf>
    <xf numFmtId="0" fontId="26" fillId="2" borderId="0" xfId="0" applyFont="1" applyFill="1" applyBorder="1" applyAlignment="1" applyProtection="1"/>
    <xf numFmtId="0" fontId="26" fillId="3" borderId="12" xfId="0" applyFont="1" applyFill="1" applyBorder="1" applyAlignment="1" applyProtection="1">
      <alignment horizontal="center"/>
    </xf>
    <xf numFmtId="7" fontId="26" fillId="3" borderId="11" xfId="0" applyNumberFormat="1" applyFont="1" applyFill="1" applyBorder="1" applyAlignment="1" applyProtection="1">
      <alignment horizontal="center"/>
    </xf>
    <xf numFmtId="7" fontId="26" fillId="0" borderId="0" xfId="0" applyNumberFormat="1" applyFont="1" applyBorder="1" applyAlignment="1" applyProtection="1"/>
    <xf numFmtId="5" fontId="26" fillId="3" borderId="3" xfId="0" applyNumberFormat="1" applyFont="1" applyFill="1" applyBorder="1" applyAlignment="1" applyProtection="1">
      <alignment horizontal="left"/>
    </xf>
    <xf numFmtId="0" fontId="26" fillId="0" borderId="5" xfId="0" applyFont="1" applyBorder="1" applyAlignment="1" applyProtection="1">
      <alignment horizontal="left"/>
    </xf>
    <xf numFmtId="7" fontId="26" fillId="0" borderId="0" xfId="0" applyNumberFormat="1" applyFont="1" applyBorder="1" applyAlignment="1" applyProtection="1">
      <alignment horizontal="left"/>
    </xf>
    <xf numFmtId="0" fontId="26" fillId="3" borderId="3" xfId="0" applyFont="1" applyFill="1" applyBorder="1" applyAlignment="1" applyProtection="1">
      <alignment horizontal="left"/>
    </xf>
    <xf numFmtId="0" fontId="26" fillId="0" borderId="5" xfId="0" applyFont="1" applyBorder="1" applyAlignment="1" applyProtection="1">
      <alignment horizontal="left" wrapText="1"/>
    </xf>
    <xf numFmtId="7" fontId="26" fillId="3" borderId="16" xfId="0" applyNumberFormat="1" applyFont="1" applyFill="1" applyBorder="1" applyAlignment="1" applyProtection="1">
      <alignment horizontal="right"/>
    </xf>
    <xf numFmtId="0" fontId="26" fillId="0" borderId="7" xfId="0" applyFont="1" applyBorder="1" applyAlignment="1" applyProtection="1">
      <alignment horizontal="left"/>
    </xf>
    <xf numFmtId="44" fontId="26" fillId="0" borderId="0" xfId="0" applyNumberFormat="1" applyFont="1" applyBorder="1" applyAlignment="1" applyProtection="1">
      <alignment horizontal="right"/>
    </xf>
    <xf numFmtId="5" fontId="26" fillId="3" borderId="10" xfId="0" applyNumberFormat="1" applyFont="1" applyFill="1" applyBorder="1" applyAlignment="1" applyProtection="1">
      <alignment horizontal="right"/>
    </xf>
    <xf numFmtId="5" fontId="26" fillId="3" borderId="5" xfId="0" applyNumberFormat="1" applyFont="1" applyFill="1" applyBorder="1" applyAlignment="1" applyProtection="1">
      <alignment horizontal="left"/>
    </xf>
    <xf numFmtId="0" fontId="26" fillId="0" borderId="11" xfId="0" applyFont="1" applyBorder="1" applyAlignment="1" applyProtection="1">
      <alignment horizontal="left"/>
    </xf>
    <xf numFmtId="0" fontId="26" fillId="3" borderId="10" xfId="0" applyFont="1" applyFill="1" applyBorder="1" applyAlignment="1" applyProtection="1">
      <alignment horizontal="right"/>
    </xf>
    <xf numFmtId="0" fontId="26" fillId="0" borderId="13" xfId="0" applyFont="1" applyBorder="1" applyAlignment="1" applyProtection="1">
      <alignment horizontal="left"/>
    </xf>
    <xf numFmtId="0" fontId="26" fillId="3" borderId="5" xfId="0" applyFont="1" applyFill="1" applyBorder="1" applyAlignment="1" applyProtection="1">
      <alignment horizontal="left"/>
    </xf>
    <xf numFmtId="7" fontId="26" fillId="0" borderId="0" xfId="0" applyNumberFormat="1" applyFont="1" applyFill="1" applyBorder="1" applyAlignment="1" applyProtection="1">
      <alignment horizontal="left"/>
    </xf>
    <xf numFmtId="0" fontId="26" fillId="2" borderId="0" xfId="0" applyFont="1" applyFill="1" applyBorder="1" applyAlignment="1" applyProtection="1">
      <alignment horizontal="left"/>
    </xf>
    <xf numFmtId="0" fontId="29" fillId="2" borderId="0" xfId="0" applyFont="1" applyFill="1" applyBorder="1" applyAlignment="1" applyProtection="1">
      <alignment horizontal="left"/>
    </xf>
    <xf numFmtId="0" fontId="26" fillId="3" borderId="9" xfId="0" applyFont="1" applyFill="1" applyBorder="1" applyAlignment="1" applyProtection="1"/>
    <xf numFmtId="0" fontId="26" fillId="3" borderId="12" xfId="0" applyFont="1" applyFill="1" applyBorder="1" applyAlignment="1" applyProtection="1"/>
    <xf numFmtId="0" fontId="26" fillId="3" borderId="10" xfId="0" applyFont="1" applyFill="1" applyBorder="1" applyAlignment="1" applyProtection="1">
      <alignment horizontal="left"/>
    </xf>
    <xf numFmtId="0" fontId="26" fillId="0" borderId="0" xfId="0" applyFont="1" applyFill="1" applyBorder="1" applyAlignment="1" applyProtection="1">
      <alignment horizontal="left" wrapText="1"/>
    </xf>
    <xf numFmtId="0" fontId="29" fillId="0" borderId="0" xfId="0" applyFont="1" applyFill="1" applyBorder="1" applyAlignment="1" applyProtection="1">
      <alignment horizontal="left"/>
    </xf>
    <xf numFmtId="0" fontId="29" fillId="3" borderId="9" xfId="0" applyFont="1" applyFill="1" applyBorder="1" applyAlignment="1" applyProtection="1"/>
    <xf numFmtId="0" fontId="29" fillId="3" borderId="12" xfId="0" applyFont="1" applyFill="1" applyBorder="1" applyAlignment="1" applyProtection="1"/>
    <xf numFmtId="44" fontId="26" fillId="3" borderId="19" xfId="0" applyNumberFormat="1" applyFont="1" applyFill="1" applyBorder="1" applyAlignment="1" applyProtection="1">
      <alignment horizontal="right"/>
    </xf>
    <xf numFmtId="0" fontId="26" fillId="0" borderId="10" xfId="0" applyFont="1" applyBorder="1" applyProtection="1"/>
    <xf numFmtId="7" fontId="26" fillId="3" borderId="11" xfId="0" applyNumberFormat="1" applyFont="1" applyFill="1" applyBorder="1" applyAlignment="1" applyProtection="1">
      <alignment horizontal="right"/>
    </xf>
    <xf numFmtId="7" fontId="26" fillId="3" borderId="9" xfId="0" applyNumberFormat="1" applyFont="1" applyFill="1" applyBorder="1" applyAlignment="1" applyProtection="1">
      <alignment horizontal="right"/>
    </xf>
    <xf numFmtId="7" fontId="26" fillId="3" borderId="12" xfId="0" applyNumberFormat="1" applyFont="1" applyFill="1" applyBorder="1" applyAlignment="1" applyProtection="1">
      <alignment horizontal="right"/>
    </xf>
    <xf numFmtId="10" fontId="26" fillId="4" borderId="13" xfId="0" applyNumberFormat="1" applyFont="1" applyFill="1" applyBorder="1" applyAlignment="1" applyProtection="1">
      <alignment horizontal="right"/>
      <protection locked="0"/>
    </xf>
    <xf numFmtId="10" fontId="26" fillId="4" borderId="8" xfId="0" applyNumberFormat="1" applyFont="1" applyFill="1" applyBorder="1" applyAlignment="1" applyProtection="1">
      <alignment horizontal="right"/>
      <protection locked="0"/>
    </xf>
    <xf numFmtId="7" fontId="26" fillId="0" borderId="6" xfId="0" applyNumberFormat="1" applyFont="1" applyBorder="1" applyAlignment="1" applyProtection="1">
      <alignment horizontal="center"/>
    </xf>
    <xf numFmtId="7" fontId="26" fillId="4" borderId="13" xfId="0" applyNumberFormat="1" applyFont="1" applyFill="1" applyBorder="1" applyAlignment="1" applyProtection="1">
      <alignment horizontal="right"/>
    </xf>
    <xf numFmtId="7" fontId="26" fillId="4" borderId="8" xfId="0" applyNumberFormat="1" applyFont="1" applyFill="1" applyBorder="1" applyAlignment="1" applyProtection="1">
      <alignment horizontal="right"/>
    </xf>
    <xf numFmtId="0" fontId="26" fillId="4" borderId="5" xfId="0" applyFont="1" applyFill="1" applyBorder="1" applyAlignment="1" applyProtection="1">
      <alignment horizontal="left"/>
    </xf>
    <xf numFmtId="7" fontId="26" fillId="4" borderId="8" xfId="0" applyNumberFormat="1" applyFont="1" applyFill="1" applyBorder="1" applyAlignment="1" applyProtection="1"/>
    <xf numFmtId="7" fontId="26" fillId="4" borderId="13" xfId="0" applyNumberFormat="1" applyFont="1" applyFill="1" applyBorder="1" applyAlignment="1" applyProtection="1"/>
    <xf numFmtId="7" fontId="26" fillId="3" borderId="17" xfId="0" applyNumberFormat="1" applyFont="1" applyFill="1" applyBorder="1" applyAlignment="1" applyProtection="1">
      <alignment horizontal="right"/>
    </xf>
    <xf numFmtId="7" fontId="26" fillId="6" borderId="15" xfId="0" applyNumberFormat="1" applyFont="1" applyFill="1" applyBorder="1" applyAlignment="1" applyProtection="1">
      <alignment horizontal="right"/>
    </xf>
    <xf numFmtId="7" fontId="26" fillId="6" borderId="0" xfId="0" applyNumberFormat="1" applyFont="1" applyFill="1" applyProtection="1"/>
    <xf numFmtId="7" fontId="26" fillId="6" borderId="0" xfId="0" applyNumberFormat="1" applyFont="1" applyFill="1" applyBorder="1" applyProtection="1"/>
    <xf numFmtId="7" fontId="26" fillId="3" borderId="19" xfId="0" applyNumberFormat="1" applyFont="1" applyFill="1" applyBorder="1" applyAlignment="1" applyProtection="1">
      <alignment horizontal="right"/>
    </xf>
    <xf numFmtId="7" fontId="26" fillId="6" borderId="12" xfId="0" applyNumberFormat="1" applyFont="1" applyFill="1" applyBorder="1" applyAlignment="1" applyProtection="1">
      <alignment horizontal="right"/>
    </xf>
    <xf numFmtId="7" fontId="26" fillId="6" borderId="6" xfId="0" applyNumberFormat="1" applyFont="1" applyFill="1" applyBorder="1" applyAlignment="1" applyProtection="1">
      <alignment horizontal="right"/>
    </xf>
    <xf numFmtId="7" fontId="26" fillId="3" borderId="6" xfId="0" applyNumberFormat="1" applyFont="1" applyFill="1" applyBorder="1" applyAlignment="1" applyProtection="1">
      <alignment horizontal="right"/>
    </xf>
    <xf numFmtId="2" fontId="26" fillId="3" borderId="11" xfId="0" applyNumberFormat="1" applyFont="1" applyFill="1" applyBorder="1" applyAlignment="1" applyProtection="1">
      <alignment horizontal="right"/>
    </xf>
    <xf numFmtId="2" fontId="26" fillId="0" borderId="0" xfId="0" applyNumberFormat="1" applyFont="1" applyFill="1" applyBorder="1" applyAlignment="1" applyProtection="1">
      <alignment horizontal="right"/>
    </xf>
    <xf numFmtId="7" fontId="26" fillId="4" borderId="6" xfId="0" applyNumberFormat="1" applyFont="1" applyFill="1" applyBorder="1" applyAlignment="1" applyProtection="1">
      <alignment horizontal="right"/>
    </xf>
    <xf numFmtId="0" fontId="26" fillId="10" borderId="0" xfId="0" applyFont="1" applyFill="1" applyAlignment="1" applyProtection="1">
      <alignment horizontal="centerContinuous"/>
    </xf>
    <xf numFmtId="10" fontId="26" fillId="4" borderId="8" xfId="0" applyNumberFormat="1" applyFont="1" applyFill="1" applyBorder="1" applyAlignment="1" applyProtection="1">
      <alignment horizontal="center"/>
      <protection locked="0"/>
    </xf>
    <xf numFmtId="10" fontId="26" fillId="0" borderId="0" xfId="0" applyNumberFormat="1" applyFont="1" applyBorder="1" applyAlignment="1" applyProtection="1">
      <alignment horizontal="left"/>
    </xf>
    <xf numFmtId="0" fontId="29" fillId="10" borderId="0" xfId="0" applyFont="1" applyFill="1" applyBorder="1" applyAlignment="1" applyProtection="1">
      <alignment horizontal="centerContinuous"/>
    </xf>
    <xf numFmtId="10" fontId="26" fillId="0" borderId="7" xfId="0" applyNumberFormat="1" applyFont="1" applyBorder="1" applyAlignment="1" applyProtection="1">
      <alignment horizontal="center"/>
    </xf>
    <xf numFmtId="7" fontId="26" fillId="10" borderId="0" xfId="0" applyNumberFormat="1" applyFont="1" applyFill="1" applyBorder="1" applyAlignment="1" applyProtection="1">
      <alignment horizontal="centerContinuous"/>
    </xf>
    <xf numFmtId="1" fontId="26" fillId="3" borderId="11" xfId="0" applyNumberFormat="1" applyFont="1" applyFill="1" applyBorder="1" applyAlignment="1" applyProtection="1">
      <alignment horizontal="center"/>
    </xf>
    <xf numFmtId="7" fontId="33" fillId="0" borderId="0" xfId="1" applyNumberFormat="1" applyFont="1" applyFill="1" applyBorder="1" applyProtection="1"/>
    <xf numFmtId="166" fontId="26" fillId="0" borderId="0" xfId="1" applyNumberFormat="1" applyFont="1" applyFill="1" applyBorder="1" applyProtection="1"/>
    <xf numFmtId="166" fontId="26" fillId="0" borderId="0" xfId="1" applyNumberFormat="1" applyFont="1" applyFill="1" applyProtection="1"/>
    <xf numFmtId="166" fontId="37" fillId="0" borderId="0" xfId="1" applyNumberFormat="1" applyFont="1" applyFill="1" applyBorder="1" applyProtection="1"/>
    <xf numFmtId="166" fontId="37" fillId="0" borderId="0" xfId="1" applyNumberFormat="1" applyFont="1" applyFill="1" applyProtection="1"/>
    <xf numFmtId="7" fontId="33" fillId="0" borderId="0" xfId="0" applyNumberFormat="1" applyFont="1" applyFill="1" applyBorder="1" applyProtection="1"/>
    <xf numFmtId="0" fontId="37" fillId="0" borderId="0" xfId="0" applyFont="1" applyFill="1" applyBorder="1" applyProtection="1"/>
    <xf numFmtId="0" fontId="37" fillId="0" borderId="0" xfId="0" applyFont="1" applyFill="1" applyProtection="1"/>
    <xf numFmtId="44" fontId="33" fillId="0" borderId="8" xfId="1" applyNumberFormat="1" applyFont="1" applyFill="1" applyBorder="1" applyAlignment="1" applyProtection="1">
      <alignment horizontal="right"/>
    </xf>
    <xf numFmtId="44" fontId="33" fillId="0" borderId="0" xfId="1" applyNumberFormat="1" applyFont="1" applyFill="1" applyBorder="1" applyProtection="1"/>
    <xf numFmtId="7" fontId="33" fillId="0" borderId="0" xfId="1" applyNumberFormat="1" applyFont="1" applyFill="1" applyBorder="1" applyAlignment="1" applyProtection="1"/>
    <xf numFmtId="6" fontId="37" fillId="0" borderId="0" xfId="1" applyNumberFormat="1" applyFont="1" applyFill="1" applyBorder="1" applyProtection="1"/>
    <xf numFmtId="6" fontId="37" fillId="0" borderId="0" xfId="1" applyNumberFormat="1" applyFont="1" applyFill="1" applyProtection="1"/>
    <xf numFmtId="6" fontId="37" fillId="0" borderId="0" xfId="0" applyNumberFormat="1" applyFont="1" applyFill="1" applyProtection="1"/>
    <xf numFmtId="2" fontId="33" fillId="3" borderId="11" xfId="0" applyNumberFormat="1" applyFont="1" applyFill="1" applyBorder="1" applyAlignment="1" applyProtection="1">
      <alignment horizontal="right"/>
    </xf>
    <xf numFmtId="2" fontId="33" fillId="0" borderId="0" xfId="0" applyNumberFormat="1" applyFont="1" applyFill="1" applyBorder="1" applyAlignment="1" applyProtection="1">
      <alignment horizontal="right"/>
    </xf>
    <xf numFmtId="0" fontId="26" fillId="0" borderId="0" xfId="0" applyNumberFormat="1" applyFont="1" applyFill="1" applyBorder="1" applyProtection="1"/>
    <xf numFmtId="0" fontId="26" fillId="0" borderId="0" xfId="0" applyFont="1" applyFill="1" applyBorder="1" applyAlignment="1" applyProtection="1">
      <alignment horizontal="right"/>
    </xf>
    <xf numFmtId="7" fontId="33" fillId="0" borderId="0" xfId="1" applyNumberFormat="1" applyFont="1" applyFill="1" applyBorder="1" applyAlignment="1" applyProtection="1">
      <alignment vertical="center"/>
    </xf>
    <xf numFmtId="6" fontId="37" fillId="0" borderId="0" xfId="1" applyNumberFormat="1" applyFont="1" applyFill="1" applyBorder="1" applyAlignment="1" applyProtection="1">
      <alignment horizontal="center" vertical="center"/>
    </xf>
    <xf numFmtId="0" fontId="37" fillId="0" borderId="0" xfId="0" applyFont="1" applyFill="1" applyBorder="1" applyAlignment="1" applyProtection="1">
      <alignment horizontal="center" vertical="center"/>
    </xf>
    <xf numFmtId="0" fontId="37" fillId="0" borderId="0" xfId="0" applyFont="1" applyFill="1" applyAlignment="1" applyProtection="1">
      <alignment horizontal="center" vertical="center"/>
    </xf>
    <xf numFmtId="6" fontId="37" fillId="0" borderId="0" xfId="1" applyNumberFormat="1" applyFont="1" applyFill="1" applyAlignment="1" applyProtection="1">
      <alignment horizontal="center" vertical="center"/>
    </xf>
    <xf numFmtId="6" fontId="37" fillId="0" borderId="0" xfId="0" applyNumberFormat="1" applyFont="1" applyFill="1" applyAlignment="1" applyProtection="1">
      <alignment horizontal="center" vertical="center"/>
    </xf>
    <xf numFmtId="0" fontId="26" fillId="7" borderId="0" xfId="0" applyFont="1" applyFill="1" applyBorder="1" applyProtection="1"/>
    <xf numFmtId="8" fontId="33" fillId="3" borderId="65" xfId="1" applyNumberFormat="1" applyFont="1" applyFill="1" applyBorder="1" applyAlignment="1" applyProtection="1">
      <alignment horizontal="center" vertical="center"/>
    </xf>
    <xf numFmtId="164" fontId="26" fillId="0" borderId="0" xfId="0" applyNumberFormat="1" applyFont="1" applyBorder="1" applyAlignment="1" applyProtection="1">
      <alignment horizontal="right"/>
    </xf>
    <xf numFmtId="0" fontId="26" fillId="0" borderId="35" xfId="0" applyFont="1" applyBorder="1" applyAlignment="1" applyProtection="1">
      <alignment horizontal="center"/>
    </xf>
    <xf numFmtId="0" fontId="26" fillId="0" borderId="34" xfId="0" applyFont="1" applyBorder="1" applyAlignment="1" applyProtection="1">
      <alignment horizontal="center"/>
    </xf>
    <xf numFmtId="164" fontId="26" fillId="0" borderId="0" xfId="0" applyNumberFormat="1" applyFont="1" applyBorder="1" applyAlignment="1" applyProtection="1">
      <alignment horizontal="right" vertical="top"/>
    </xf>
    <xf numFmtId="0" fontId="26" fillId="4" borderId="8" xfId="0" applyFont="1" applyFill="1" applyBorder="1" applyAlignment="1" applyProtection="1">
      <alignment horizontal="center" wrapText="1"/>
      <protection locked="0"/>
    </xf>
    <xf numFmtId="0" fontId="26" fillId="13" borderId="0" xfId="0" applyFont="1" applyFill="1" applyAlignment="1" applyProtection="1">
      <alignment horizontal="center" wrapText="1"/>
    </xf>
    <xf numFmtId="9" fontId="26" fillId="13" borderId="0" xfId="2" applyFont="1" applyFill="1" applyAlignment="1" applyProtection="1">
      <alignment horizontal="center" wrapText="1"/>
    </xf>
    <xf numFmtId="0" fontId="26" fillId="13" borderId="0" xfId="0" applyFont="1" applyFill="1" applyAlignment="1" applyProtection="1">
      <alignment horizontal="center"/>
    </xf>
    <xf numFmtId="9" fontId="26" fillId="13" borderId="0" xfId="2" applyFont="1" applyFill="1" applyAlignment="1" applyProtection="1">
      <alignment horizontal="center"/>
    </xf>
    <xf numFmtId="0" fontId="26" fillId="13" borderId="0" xfId="0" applyFont="1" applyFill="1" applyProtection="1"/>
    <xf numFmtId="0" fontId="26" fillId="13" borderId="41" xfId="0" applyFont="1" applyFill="1" applyBorder="1" applyAlignment="1" applyProtection="1">
      <alignment horizontal="center"/>
    </xf>
    <xf numFmtId="177" fontId="26" fillId="3" borderId="11" xfId="2" applyNumberFormat="1" applyFont="1" applyFill="1" applyBorder="1" applyAlignment="1" applyProtection="1">
      <alignment horizontal="center"/>
    </xf>
    <xf numFmtId="14" fontId="26" fillId="6" borderId="0" xfId="0" applyNumberFormat="1" applyFont="1" applyFill="1" applyProtection="1"/>
    <xf numFmtId="0" fontId="26" fillId="0" borderId="0" xfId="0" quotePrefix="1" applyFont="1" applyFill="1" applyAlignment="1" applyProtection="1">
      <alignment horizontal="center"/>
    </xf>
    <xf numFmtId="0" fontId="26" fillId="0" borderId="0" xfId="0" applyFont="1" applyFill="1" applyAlignment="1" applyProtection="1"/>
    <xf numFmtId="0" fontId="26" fillId="4" borderId="8" xfId="0" applyFont="1" applyFill="1" applyBorder="1" applyProtection="1">
      <protection locked="0"/>
    </xf>
    <xf numFmtId="10" fontId="26" fillId="4" borderId="11" xfId="0" applyNumberFormat="1" applyFont="1" applyFill="1" applyBorder="1" applyAlignment="1" applyProtection="1">
      <alignment horizontal="center"/>
      <protection locked="0"/>
    </xf>
    <xf numFmtId="10" fontId="26" fillId="6" borderId="0" xfId="2" applyNumberFormat="1" applyFont="1" applyFill="1" applyProtection="1"/>
    <xf numFmtId="0" fontId="35" fillId="0" borderId="0" xfId="0" applyFont="1"/>
    <xf numFmtId="0" fontId="26" fillId="0" borderId="0" xfId="0" applyFont="1" applyFill="1"/>
    <xf numFmtId="0" fontId="26" fillId="10" borderId="0" xfId="0" applyFont="1" applyFill="1" applyAlignment="1" applyProtection="1">
      <alignment horizontal="center"/>
    </xf>
    <xf numFmtId="0" fontId="26" fillId="4" borderId="8" xfId="0" applyFont="1" applyFill="1" applyBorder="1" applyAlignment="1" applyProtection="1">
      <alignment wrapText="1"/>
      <protection locked="0"/>
    </xf>
    <xf numFmtId="0" fontId="26" fillId="0" borderId="0" xfId="0" applyFont="1" applyAlignment="1" applyProtection="1">
      <alignment horizontal="justify" wrapText="1"/>
    </xf>
    <xf numFmtId="0" fontId="26" fillId="10" borderId="0" xfId="0" applyFont="1" applyFill="1" applyAlignment="1" applyProtection="1">
      <alignment horizontal="center" wrapText="1"/>
    </xf>
    <xf numFmtId="0" fontId="26" fillId="0" borderId="0" xfId="0" applyFont="1" applyAlignment="1" applyProtection="1">
      <alignment horizontal="left" wrapText="1"/>
    </xf>
    <xf numFmtId="0" fontId="26" fillId="0" borderId="0" xfId="0" applyFont="1" applyAlignment="1" applyProtection="1">
      <alignment horizontal="center" wrapText="1"/>
    </xf>
    <xf numFmtId="0" fontId="26" fillId="10" borderId="0" xfId="0" applyFont="1" applyFill="1" applyAlignment="1" applyProtection="1">
      <alignment wrapText="1"/>
    </xf>
    <xf numFmtId="10" fontId="26" fillId="4" borderId="11" xfId="2" applyNumberFormat="1" applyFont="1" applyFill="1" applyBorder="1" applyAlignment="1" applyProtection="1">
      <alignment horizontal="center"/>
      <protection locked="0"/>
    </xf>
    <xf numFmtId="176" fontId="26" fillId="3" borderId="8" xfId="1" applyNumberFormat="1" applyFont="1" applyFill="1" applyBorder="1" applyAlignment="1" applyProtection="1">
      <alignment horizontal="center"/>
    </xf>
    <xf numFmtId="0" fontId="26" fillId="8" borderId="0" xfId="0" quotePrefix="1" applyFont="1" applyFill="1" applyAlignment="1" applyProtection="1">
      <alignment horizontal="center"/>
    </xf>
    <xf numFmtId="0" fontId="26" fillId="0" borderId="0" xfId="0" applyFont="1" applyAlignment="1" applyProtection="1">
      <alignment horizontal="left" indent="1"/>
    </xf>
    <xf numFmtId="0" fontId="41" fillId="0" borderId="0" xfId="47" applyFont="1" applyBorder="1" applyProtection="1">
      <protection locked="0"/>
    </xf>
    <xf numFmtId="0" fontId="42" fillId="0" borderId="0" xfId="47" applyNumberFormat="1" applyFont="1" applyFill="1" applyBorder="1" applyAlignment="1" applyProtection="1">
      <alignment horizontal="left" vertical="center" wrapText="1"/>
      <protection locked="0"/>
    </xf>
    <xf numFmtId="7" fontId="24" fillId="0" borderId="0" xfId="0" applyNumberFormat="1" applyFont="1" applyAlignment="1">
      <alignment horizontal="center"/>
    </xf>
    <xf numFmtId="164" fontId="26" fillId="0" borderId="0" xfId="0" applyNumberFormat="1" applyFont="1" applyFill="1" applyBorder="1" applyAlignment="1" applyProtection="1">
      <alignment horizontal="right" vertical="top"/>
    </xf>
    <xf numFmtId="0" fontId="26" fillId="0" borderId="0" xfId="0" applyFont="1" applyFill="1" applyBorder="1" applyAlignment="1" applyProtection="1">
      <alignment horizontal="right" wrapText="1"/>
    </xf>
    <xf numFmtId="0" fontId="26" fillId="6" borderId="0" xfId="0" applyFont="1" applyFill="1" applyBorder="1" applyProtection="1"/>
    <xf numFmtId="0" fontId="26" fillId="11" borderId="0" xfId="0" applyFont="1" applyFill="1" applyAlignment="1" applyProtection="1">
      <alignment horizontal="center" wrapText="1"/>
    </xf>
    <xf numFmtId="9" fontId="26" fillId="11" borderId="0" xfId="0" applyNumberFormat="1" applyFont="1" applyFill="1" applyAlignment="1" applyProtection="1">
      <alignment horizontal="center"/>
    </xf>
    <xf numFmtId="9" fontId="26" fillId="4" borderId="8" xfId="2" applyFont="1" applyFill="1" applyBorder="1" applyAlignment="1" applyProtection="1">
      <alignment horizontal="center" wrapText="1"/>
      <protection locked="0"/>
    </xf>
    <xf numFmtId="0" fontId="37" fillId="10" borderId="0" xfId="0" applyFont="1" applyFill="1" applyAlignment="1" applyProtection="1"/>
    <xf numFmtId="0" fontId="37" fillId="0" borderId="0" xfId="0" applyFont="1" applyAlignment="1" applyProtection="1"/>
    <xf numFmtId="0" fontId="26" fillId="0" borderId="0" xfId="0" applyFont="1" applyAlignment="1">
      <alignment horizontal="right"/>
    </xf>
    <xf numFmtId="0" fontId="26" fillId="0" borderId="0" xfId="0" applyFont="1" applyAlignment="1">
      <alignment horizontal="center"/>
    </xf>
    <xf numFmtId="7" fontId="26" fillId="0" borderId="0" xfId="0" applyNumberFormat="1" applyFont="1" applyAlignment="1">
      <alignment horizontal="center"/>
    </xf>
    <xf numFmtId="169" fontId="26" fillId="0" borderId="30" xfId="0" applyNumberFormat="1" applyFont="1" applyBorder="1" applyAlignment="1">
      <alignment horizontal="center"/>
    </xf>
    <xf numFmtId="170" fontId="26" fillId="0" borderId="41" xfId="0" applyNumberFormat="1" applyFont="1" applyBorder="1" applyAlignment="1">
      <alignment horizontal="center"/>
    </xf>
    <xf numFmtId="0" fontId="26" fillId="0" borderId="0" xfId="0" applyFont="1" applyAlignment="1">
      <alignment horizontal="right" wrapText="1"/>
    </xf>
    <xf numFmtId="7" fontId="26" fillId="0" borderId="30" xfId="0" applyNumberFormat="1" applyFont="1" applyBorder="1" applyAlignment="1">
      <alignment horizontal="center"/>
    </xf>
    <xf numFmtId="179" fontId="26" fillId="0" borderId="41" xfId="2" applyNumberFormat="1" applyFont="1" applyBorder="1" applyAlignment="1">
      <alignment horizontal="center"/>
    </xf>
    <xf numFmtId="0" fontId="26" fillId="0" borderId="0" xfId="0" applyFont="1" applyAlignment="1" applyProtection="1">
      <alignment horizontal="justify"/>
    </xf>
    <xf numFmtId="0" fontId="29" fillId="0" borderId="0" xfId="0" applyFont="1" applyAlignment="1" applyProtection="1"/>
    <xf numFmtId="0" fontId="29" fillId="0" borderId="0" xfId="0" applyFont="1" applyFill="1" applyBorder="1" applyAlignment="1" applyProtection="1"/>
    <xf numFmtId="0" fontId="26" fillId="0" borderId="7" xfId="0" applyFont="1" applyBorder="1" applyAlignment="1" applyProtection="1">
      <alignment vertical="top"/>
    </xf>
    <xf numFmtId="0" fontId="26" fillId="0" borderId="0" xfId="0" applyFont="1" applyBorder="1" applyAlignment="1" applyProtection="1">
      <alignment vertical="top"/>
    </xf>
    <xf numFmtId="0" fontId="26" fillId="3" borderId="10" xfId="0" applyFont="1" applyFill="1" applyBorder="1" applyAlignment="1" applyProtection="1">
      <alignment horizontal="center"/>
    </xf>
    <xf numFmtId="0" fontId="26" fillId="0" borderId="4" xfId="0" applyFont="1" applyBorder="1" applyAlignment="1" applyProtection="1">
      <alignment horizontal="right" vertical="center"/>
    </xf>
    <xf numFmtId="14" fontId="26" fillId="4" borderId="27" xfId="0" applyNumberFormat="1" applyFont="1" applyFill="1" applyBorder="1" applyAlignment="1" applyProtection="1">
      <alignment horizontal="center"/>
      <protection locked="0"/>
    </xf>
    <xf numFmtId="14" fontId="26" fillId="6" borderId="27" xfId="0" applyNumberFormat="1" applyFont="1" applyFill="1" applyBorder="1" applyAlignment="1" applyProtection="1">
      <alignment horizontal="center"/>
    </xf>
    <xf numFmtId="14" fontId="26" fillId="4" borderId="5" xfId="0" applyNumberFormat="1" applyFont="1" applyFill="1" applyBorder="1" applyAlignment="1" applyProtection="1">
      <alignment horizontal="center"/>
      <protection locked="0"/>
    </xf>
    <xf numFmtId="14" fontId="26" fillId="4" borderId="29" xfId="0" applyNumberFormat="1" applyFont="1" applyFill="1" applyBorder="1" applyAlignment="1" applyProtection="1">
      <alignment horizontal="center"/>
      <protection locked="0"/>
    </xf>
    <xf numFmtId="14" fontId="26" fillId="6" borderId="5" xfId="0" applyNumberFormat="1" applyFont="1" applyFill="1" applyBorder="1" applyAlignment="1" applyProtection="1">
      <alignment horizontal="center"/>
    </xf>
    <xf numFmtId="14" fontId="26" fillId="6" borderId="13" xfId="0" applyNumberFormat="1" applyFont="1" applyFill="1" applyBorder="1" applyAlignment="1" applyProtection="1">
      <alignment horizontal="center"/>
    </xf>
    <xf numFmtId="14" fontId="26" fillId="0" borderId="3" xfId="0" applyNumberFormat="1" applyFont="1" applyFill="1" applyBorder="1" applyAlignment="1" applyProtection="1">
      <alignment horizontal="center"/>
    </xf>
    <xf numFmtId="0" fontId="26" fillId="11" borderId="0" xfId="0" applyFont="1" applyFill="1" applyBorder="1" applyProtection="1"/>
    <xf numFmtId="7" fontId="26" fillId="11" borderId="0" xfId="0" applyNumberFormat="1" applyFont="1" applyFill="1" applyBorder="1" applyProtection="1"/>
    <xf numFmtId="0" fontId="26" fillId="0" borderId="0" xfId="0" applyFont="1" applyBorder="1" applyAlignment="1" applyProtection="1">
      <alignment horizontal="right"/>
    </xf>
    <xf numFmtId="0" fontId="29" fillId="10" borderId="0" xfId="0" applyFont="1" applyFill="1" applyAlignment="1" applyProtection="1"/>
    <xf numFmtId="0" fontId="26" fillId="0" borderId="0" xfId="0" quotePrefix="1" applyFont="1" applyBorder="1" applyAlignment="1" applyProtection="1"/>
    <xf numFmtId="10" fontId="26" fillId="3" borderId="13" xfId="0" applyNumberFormat="1" applyFont="1" applyFill="1" applyBorder="1" applyAlignment="1" applyProtection="1">
      <alignment horizontal="right"/>
    </xf>
    <xf numFmtId="0" fontId="26" fillId="3" borderId="12" xfId="0" applyFont="1" applyFill="1" applyBorder="1" applyAlignment="1" applyProtection="1">
      <alignment horizontal="center" wrapText="1"/>
    </xf>
    <xf numFmtId="2" fontId="26" fillId="6" borderId="0" xfId="0" applyNumberFormat="1" applyFont="1" applyFill="1" applyAlignment="1" applyProtection="1">
      <alignment horizontal="center"/>
    </xf>
    <xf numFmtId="1" fontId="26" fillId="3" borderId="8" xfId="0" applyNumberFormat="1" applyFont="1" applyFill="1" applyBorder="1" applyAlignment="1" applyProtection="1">
      <alignment horizontal="center"/>
    </xf>
    <xf numFmtId="1" fontId="26" fillId="3" borderId="16" xfId="0" applyNumberFormat="1" applyFont="1" applyFill="1" applyBorder="1" applyAlignment="1" applyProtection="1">
      <alignment horizontal="center"/>
    </xf>
    <xf numFmtId="1" fontId="26" fillId="6" borderId="20" xfId="0" applyNumberFormat="1" applyFont="1" applyFill="1" applyBorder="1" applyAlignment="1" applyProtection="1">
      <alignment horizontal="center"/>
    </xf>
    <xf numFmtId="0" fontId="26" fillId="3" borderId="16" xfId="0" applyFont="1" applyFill="1" applyBorder="1" applyAlignment="1" applyProtection="1">
      <alignment horizontal="center"/>
    </xf>
    <xf numFmtId="0" fontId="26" fillId="3" borderId="20" xfId="0" applyFont="1" applyFill="1" applyBorder="1" applyAlignment="1" applyProtection="1">
      <alignment horizontal="center"/>
    </xf>
    <xf numFmtId="4" fontId="26" fillId="4" borderId="11" xfId="0" applyNumberFormat="1" applyFont="1" applyFill="1" applyBorder="1" applyAlignment="1" applyProtection="1">
      <alignment horizontal="center"/>
      <protection locked="0"/>
    </xf>
    <xf numFmtId="4" fontId="26" fillId="6" borderId="8" xfId="0" applyNumberFormat="1" applyFont="1" applyFill="1" applyBorder="1" applyAlignment="1" applyProtection="1">
      <alignment horizontal="center"/>
    </xf>
    <xf numFmtId="0" fontId="29" fillId="0" borderId="0" xfId="0" applyFont="1" applyAlignment="1" applyProtection="1">
      <alignment wrapText="1"/>
    </xf>
    <xf numFmtId="4" fontId="26" fillId="3" borderId="11" xfId="0" applyNumberFormat="1" applyFont="1" applyFill="1" applyBorder="1" applyAlignment="1" applyProtection="1">
      <alignment horizontal="center"/>
    </xf>
    <xf numFmtId="4" fontId="26" fillId="3" borderId="16" xfId="0" applyNumberFormat="1" applyFont="1" applyFill="1" applyBorder="1" applyAlignment="1" applyProtection="1">
      <alignment horizontal="center"/>
    </xf>
    <xf numFmtId="4" fontId="26" fillId="6" borderId="20" xfId="0" applyNumberFormat="1" applyFont="1" applyFill="1" applyBorder="1" applyAlignment="1" applyProtection="1">
      <alignment horizontal="center"/>
    </xf>
    <xf numFmtId="1" fontId="26" fillId="4" borderId="11" xfId="0" applyNumberFormat="1" applyFont="1" applyFill="1" applyBorder="1" applyAlignment="1" applyProtection="1">
      <alignment horizontal="center"/>
      <protection locked="0"/>
    </xf>
    <xf numFmtId="0" fontId="26" fillId="4" borderId="8" xfId="0" applyFont="1" applyFill="1" applyBorder="1" applyAlignment="1" applyProtection="1"/>
    <xf numFmtId="0" fontId="26" fillId="6" borderId="8" xfId="0" applyFont="1" applyFill="1" applyBorder="1" applyAlignment="1" applyProtection="1">
      <alignment wrapText="1"/>
    </xf>
    <xf numFmtId="0" fontId="27" fillId="0" borderId="0" xfId="0" applyFont="1" applyAlignment="1" applyProtection="1">
      <alignment horizontal="center"/>
    </xf>
    <xf numFmtId="7" fontId="26" fillId="6" borderId="8" xfId="0" applyNumberFormat="1" applyFont="1" applyFill="1" applyBorder="1" applyAlignment="1" applyProtection="1">
      <alignment horizontal="center"/>
    </xf>
    <xf numFmtId="0" fontId="26" fillId="6" borderId="0" xfId="0" applyFont="1" applyFill="1" applyAlignment="1" applyProtection="1">
      <alignment horizontal="left"/>
    </xf>
    <xf numFmtId="164" fontId="26" fillId="0" borderId="0" xfId="0" applyNumberFormat="1" applyFont="1" applyAlignment="1" applyProtection="1">
      <alignment vertical="top"/>
    </xf>
    <xf numFmtId="0" fontId="26" fillId="4" borderId="8" xfId="0" applyFont="1" applyFill="1" applyBorder="1" applyProtection="1"/>
    <xf numFmtId="0" fontId="26" fillId="0" borderId="4" xfId="0" applyFont="1" applyBorder="1" applyProtection="1"/>
    <xf numFmtId="44" fontId="26" fillId="0" borderId="0" xfId="0" applyNumberFormat="1" applyFont="1" applyBorder="1" applyAlignment="1" applyProtection="1">
      <alignment horizontal="center"/>
    </xf>
    <xf numFmtId="164" fontId="26" fillId="0" borderId="0" xfId="0" applyNumberFormat="1" applyFont="1" applyAlignment="1" applyProtection="1">
      <alignment horizontal="justify" vertical="top"/>
    </xf>
    <xf numFmtId="0" fontId="26" fillId="10" borderId="0" xfId="0" applyFont="1" applyFill="1" applyAlignment="1" applyProtection="1">
      <alignment horizontal="justify"/>
    </xf>
    <xf numFmtId="7" fontId="26" fillId="4" borderId="11" xfId="0" applyNumberFormat="1" applyFont="1" applyFill="1" applyBorder="1" applyAlignment="1" applyProtection="1">
      <alignment horizontal="center" wrapText="1"/>
      <protection locked="0"/>
    </xf>
    <xf numFmtId="7" fontId="26" fillId="6" borderId="8" xfId="0" applyNumberFormat="1" applyFont="1" applyFill="1" applyBorder="1" applyAlignment="1" applyProtection="1">
      <alignment horizontal="center" wrapText="1"/>
    </xf>
    <xf numFmtId="0" fontId="26" fillId="6" borderId="8" xfId="0" applyFont="1" applyFill="1" applyBorder="1" applyAlignment="1" applyProtection="1">
      <alignment horizontal="center" wrapText="1"/>
    </xf>
    <xf numFmtId="0" fontId="26" fillId="4" borderId="8" xfId="0" applyFont="1" applyFill="1" applyBorder="1" applyAlignment="1" applyProtection="1">
      <alignment wrapText="1"/>
    </xf>
    <xf numFmtId="0" fontId="26" fillId="0" borderId="0" xfId="0" applyFont="1" applyFill="1" applyAlignment="1" applyProtection="1">
      <alignment horizontal="justify" wrapText="1"/>
    </xf>
    <xf numFmtId="0" fontId="26" fillId="0" borderId="0" xfId="0" applyFont="1" applyFill="1" applyAlignment="1" applyProtection="1">
      <alignment horizontal="left" wrapText="1"/>
    </xf>
    <xf numFmtId="164" fontId="26" fillId="0" borderId="0" xfId="0" applyNumberFormat="1" applyFont="1" applyAlignment="1" applyProtection="1">
      <alignment horizontal="right" wrapText="1"/>
    </xf>
    <xf numFmtId="171" fontId="26" fillId="3" borderId="11" xfId="0" applyNumberFormat="1" applyFont="1" applyFill="1" applyBorder="1" applyAlignment="1" applyProtection="1">
      <alignment horizontal="center"/>
    </xf>
    <xf numFmtId="0" fontId="26" fillId="0" borderId="0" xfId="3" applyFont="1" applyAlignment="1" applyProtection="1">
      <alignment horizontal="center"/>
    </xf>
    <xf numFmtId="9" fontId="26" fillId="0" borderId="0" xfId="0" applyNumberFormat="1" applyFont="1" applyBorder="1" applyAlignment="1" applyProtection="1">
      <alignment horizontal="center"/>
    </xf>
    <xf numFmtId="0" fontId="26" fillId="0" borderId="0" xfId="3" applyFont="1" applyBorder="1" applyProtection="1"/>
    <xf numFmtId="0" fontId="26" fillId="0" borderId="0" xfId="0" applyFont="1" applyBorder="1" applyAlignment="1" applyProtection="1">
      <alignment vertical="center" wrapText="1"/>
    </xf>
    <xf numFmtId="0" fontId="26" fillId="0" borderId="2" xfId="0" applyFont="1" applyBorder="1" applyAlignment="1" applyProtection="1"/>
    <xf numFmtId="0" fontId="26" fillId="0" borderId="3" xfId="0" applyFont="1" applyBorder="1" applyProtection="1"/>
    <xf numFmtId="0" fontId="26" fillId="0" borderId="4" xfId="0" applyFont="1" applyBorder="1" applyAlignment="1" applyProtection="1"/>
    <xf numFmtId="168" fontId="26" fillId="0" borderId="4" xfId="0" applyNumberFormat="1" applyFont="1" applyBorder="1" applyAlignment="1" applyProtection="1"/>
    <xf numFmtId="168" fontId="26" fillId="0" borderId="0" xfId="0" applyNumberFormat="1" applyFont="1" applyBorder="1" applyAlignment="1" applyProtection="1"/>
    <xf numFmtId="0" fontId="26" fillId="0" borderId="8" xfId="0" applyFont="1" applyBorder="1" applyAlignment="1" applyProtection="1">
      <alignment horizontal="right"/>
    </xf>
    <xf numFmtId="0" fontId="26" fillId="3" borderId="11" xfId="0" applyFont="1" applyFill="1" applyBorder="1" applyAlignment="1" applyProtection="1">
      <alignment horizontal="center" wrapText="1"/>
    </xf>
    <xf numFmtId="2" fontId="26" fillId="0" borderId="0" xfId="0" applyNumberFormat="1" applyFont="1" applyFill="1" applyBorder="1" applyAlignment="1" applyProtection="1">
      <alignment horizontal="center" wrapText="1"/>
    </xf>
    <xf numFmtId="2" fontId="26" fillId="3" borderId="11" xfId="0" applyNumberFormat="1" applyFont="1" applyFill="1" applyBorder="1" applyAlignment="1" applyProtection="1">
      <alignment horizontal="center" wrapText="1"/>
    </xf>
    <xf numFmtId="2" fontId="26" fillId="0" borderId="0" xfId="0" applyNumberFormat="1" applyFont="1" applyFill="1" applyBorder="1" applyAlignment="1" applyProtection="1">
      <alignment wrapText="1"/>
    </xf>
    <xf numFmtId="0" fontId="26" fillId="9" borderId="0" xfId="0" applyFont="1" applyFill="1" applyAlignment="1" applyProtection="1">
      <alignment horizontal="center"/>
    </xf>
    <xf numFmtId="0" fontId="26" fillId="0" borderId="0" xfId="3" applyFont="1" applyFill="1" applyBorder="1" applyProtection="1"/>
    <xf numFmtId="0" fontId="26" fillId="0" borderId="0" xfId="3" applyFont="1" applyProtection="1"/>
    <xf numFmtId="0" fontId="26" fillId="10" borderId="0" xfId="3" applyFont="1" applyFill="1" applyProtection="1"/>
    <xf numFmtId="0" fontId="26" fillId="0" borderId="0" xfId="3" applyFont="1" applyAlignment="1" applyProtection="1">
      <alignment horizontal="left"/>
    </xf>
    <xf numFmtId="0" fontId="26" fillId="0" borderId="0" xfId="3" applyFont="1" applyAlignment="1" applyProtection="1"/>
    <xf numFmtId="0" fontId="26" fillId="0" borderId="0" xfId="3" applyFont="1" applyAlignment="1" applyProtection="1">
      <alignment horizontal="justify" wrapText="1"/>
    </xf>
    <xf numFmtId="0" fontId="26" fillId="0" borderId="0" xfId="3" applyFont="1" applyAlignment="1" applyProtection="1">
      <alignment horizontal="right" vertical="top"/>
    </xf>
    <xf numFmtId="0" fontId="26" fillId="0" borderId="0" xfId="3" applyFont="1" applyAlignment="1" applyProtection="1">
      <alignment horizontal="center" vertical="top"/>
    </xf>
    <xf numFmtId="0" fontId="26" fillId="0" borderId="0" xfId="3" applyFont="1" applyAlignment="1" applyProtection="1">
      <alignment wrapText="1"/>
    </xf>
    <xf numFmtId="0" fontId="26" fillId="3" borderId="8" xfId="3" applyFont="1" applyFill="1" applyBorder="1" applyAlignment="1" applyProtection="1">
      <alignment wrapText="1"/>
    </xf>
    <xf numFmtId="169" fontId="26" fillId="4" borderId="8" xfId="3" applyNumberFormat="1" applyFont="1" applyFill="1" applyBorder="1" applyAlignment="1" applyProtection="1">
      <alignment horizontal="center"/>
      <protection locked="0"/>
    </xf>
    <xf numFmtId="3" fontId="26" fillId="0" borderId="0" xfId="3" applyNumberFormat="1" applyFont="1" applyBorder="1" applyAlignment="1" applyProtection="1">
      <alignment horizontal="center"/>
    </xf>
    <xf numFmtId="3" fontId="26" fillId="4" borderId="8" xfId="3" applyNumberFormat="1" applyFont="1" applyFill="1" applyBorder="1" applyAlignment="1" applyProtection="1">
      <alignment horizontal="center"/>
      <protection locked="0"/>
    </xf>
    <xf numFmtId="175" fontId="26" fillId="6" borderId="0" xfId="3" applyNumberFormat="1" applyFont="1" applyFill="1" applyAlignment="1" applyProtection="1">
      <alignment horizontal="center"/>
    </xf>
    <xf numFmtId="0" fontId="26" fillId="0" borderId="0" xfId="3" applyFont="1" applyBorder="1" applyAlignment="1" applyProtection="1">
      <alignment horizontal="center"/>
    </xf>
    <xf numFmtId="10" fontId="26" fillId="3" borderId="8" xfId="3" applyNumberFormat="1" applyFont="1" applyFill="1" applyBorder="1" applyAlignment="1" applyProtection="1">
      <alignment horizontal="center"/>
    </xf>
    <xf numFmtId="1" fontId="26" fillId="0" borderId="41" xfId="0" applyNumberFormat="1" applyFont="1" applyBorder="1" applyAlignment="1">
      <alignment horizontal="center"/>
    </xf>
    <xf numFmtId="4" fontId="26" fillId="0" borderId="41" xfId="0" applyNumberFormat="1" applyFont="1" applyBorder="1" applyAlignment="1">
      <alignment horizontal="center"/>
    </xf>
    <xf numFmtId="170" fontId="26" fillId="0" borderId="41" xfId="1" applyNumberFormat="1" applyFont="1" applyBorder="1" applyAlignment="1">
      <alignment horizontal="center"/>
    </xf>
    <xf numFmtId="0" fontId="26" fillId="0" borderId="11" xfId="0" applyFont="1" applyFill="1" applyBorder="1" applyAlignment="1" applyProtection="1">
      <alignment wrapText="1"/>
    </xf>
    <xf numFmtId="0" fontId="24" fillId="0" borderId="0" xfId="0" applyFont="1" applyAlignment="1">
      <alignment horizontal="centerContinuous"/>
    </xf>
    <xf numFmtId="7" fontId="24" fillId="0" borderId="0" xfId="0" applyNumberFormat="1" applyFont="1" applyAlignment="1">
      <alignment horizontal="centerContinuous"/>
    </xf>
    <xf numFmtId="7" fontId="24" fillId="0" borderId="0" xfId="0" applyNumberFormat="1" applyFont="1"/>
    <xf numFmtId="10" fontId="24" fillId="0" borderId="0" xfId="2" applyNumberFormat="1" applyFont="1" applyAlignment="1">
      <alignment horizontal="right"/>
    </xf>
    <xf numFmtId="7" fontId="24" fillId="0" borderId="0" xfId="0" applyNumberFormat="1" applyFont="1" applyAlignment="1">
      <alignment horizontal="left"/>
    </xf>
    <xf numFmtId="10" fontId="24" fillId="0" borderId="0" xfId="2" applyNumberFormat="1" applyFont="1" applyAlignment="1">
      <alignment horizontal="left"/>
    </xf>
    <xf numFmtId="10" fontId="24" fillId="0" borderId="0" xfId="0" applyNumberFormat="1" applyFont="1" applyAlignment="1">
      <alignment horizontal="right"/>
    </xf>
    <xf numFmtId="10" fontId="24" fillId="0" borderId="0" xfId="2" applyNumberFormat="1" applyFont="1" applyAlignment="1">
      <alignment horizontal="center"/>
    </xf>
    <xf numFmtId="0" fontId="24" fillId="0" borderId="0" xfId="0" applyNumberFormat="1" applyFont="1" applyAlignment="1">
      <alignment horizontal="center"/>
    </xf>
    <xf numFmtId="10" fontId="24" fillId="0" borderId="0" xfId="2" applyNumberFormat="1" applyFont="1"/>
    <xf numFmtId="10" fontId="24" fillId="0" borderId="0" xfId="0" applyNumberFormat="1" applyFont="1"/>
    <xf numFmtId="10" fontId="35" fillId="0" borderId="0" xfId="2" applyNumberFormat="1" applyFont="1"/>
    <xf numFmtId="10" fontId="35" fillId="0" borderId="0" xfId="0" applyNumberFormat="1" applyFont="1" applyAlignment="1">
      <alignment horizontal="right"/>
    </xf>
    <xf numFmtId="0" fontId="26" fillId="0" borderId="0" xfId="0" applyFont="1" applyAlignment="1" applyProtection="1">
      <alignment horizontal="center"/>
    </xf>
    <xf numFmtId="0" fontId="26" fillId="0" borderId="0" xfId="0" applyFont="1" applyProtection="1"/>
    <xf numFmtId="0" fontId="24" fillId="0" borderId="0" xfId="0" applyFont="1" applyAlignment="1">
      <alignment horizontal="left" indent="1"/>
    </xf>
    <xf numFmtId="0" fontId="26" fillId="3" borderId="8" xfId="0" applyFont="1" applyFill="1" applyBorder="1" applyAlignment="1" applyProtection="1">
      <alignment horizontal="center"/>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alignment horizontal="center"/>
    </xf>
    <xf numFmtId="0" fontId="26" fillId="0" borderId="0" xfId="0" applyFont="1" applyProtection="1"/>
    <xf numFmtId="0" fontId="24" fillId="0" borderId="0" xfId="77" applyFont="1" applyAlignment="1">
      <alignment horizontal="centerContinuous"/>
    </xf>
    <xf numFmtId="7" fontId="24" fillId="0" borderId="0" xfId="77" applyNumberFormat="1" applyFont="1" applyAlignment="1">
      <alignment horizontal="centerContinuous"/>
    </xf>
    <xf numFmtId="0" fontId="24" fillId="0" borderId="0" xfId="77" applyFont="1"/>
    <xf numFmtId="7" fontId="24" fillId="0" borderId="0" xfId="77" applyNumberFormat="1" applyFont="1"/>
    <xf numFmtId="7" fontId="24" fillId="0" borderId="0" xfId="77" applyNumberFormat="1" applyFont="1" applyAlignment="1">
      <alignment horizontal="center"/>
    </xf>
    <xf numFmtId="0" fontId="24" fillId="0" borderId="0" xfId="77" applyNumberFormat="1" applyFont="1" applyAlignment="1">
      <alignment horizontal="center"/>
    </xf>
    <xf numFmtId="0" fontId="24" fillId="0" borderId="0" xfId="77" applyFont="1" applyAlignment="1">
      <alignment horizontal="center"/>
    </xf>
    <xf numFmtId="0" fontId="35" fillId="0" borderId="0" xfId="78" applyFont="1"/>
    <xf numFmtId="0" fontId="24" fillId="0" borderId="0" xfId="78" applyFont="1"/>
    <xf numFmtId="7" fontId="24" fillId="0" borderId="0" xfId="78" applyNumberFormat="1" applyFont="1" applyAlignment="1">
      <alignment horizontal="center"/>
    </xf>
    <xf numFmtId="7" fontId="24" fillId="0" borderId="0" xfId="78" applyNumberFormat="1" applyFont="1" applyFill="1" applyAlignment="1">
      <alignment horizontal="center"/>
    </xf>
    <xf numFmtId="10" fontId="24" fillId="0" borderId="0" xfId="80" applyNumberFormat="1" applyFont="1" applyFill="1" applyAlignment="1">
      <alignment horizontal="center"/>
    </xf>
    <xf numFmtId="10" fontId="24" fillId="0" borderId="0" xfId="78" applyNumberFormat="1" applyFont="1" applyFill="1" applyAlignment="1">
      <alignment horizontal="center"/>
    </xf>
    <xf numFmtId="8" fontId="24" fillId="0" borderId="32" xfId="79" applyFont="1" applyFill="1" applyBorder="1" applyAlignment="1">
      <alignment horizontal="center"/>
    </xf>
    <xf numFmtId="5" fontId="24" fillId="0" borderId="33" xfId="78" applyNumberFormat="1" applyFont="1" applyFill="1" applyBorder="1" applyAlignment="1">
      <alignment horizontal="center"/>
    </xf>
    <xf numFmtId="8" fontId="47" fillId="0" borderId="0" xfId="78" applyNumberFormat="1" applyFont="1"/>
    <xf numFmtId="0" fontId="24" fillId="0" borderId="0" xfId="77" applyFont="1" applyAlignment="1">
      <alignment vertical="center"/>
    </xf>
    <xf numFmtId="170" fontId="24" fillId="0" borderId="0" xfId="0" applyNumberFormat="1" applyFont="1" applyAlignment="1"/>
    <xf numFmtId="0" fontId="24" fillId="0" borderId="0" xfId="0" applyNumberFormat="1" applyFont="1" applyAlignment="1">
      <alignment horizontal="left" indent="2"/>
    </xf>
    <xf numFmtId="0" fontId="35" fillId="0" borderId="0" xfId="78" applyFont="1" applyAlignment="1">
      <alignment horizontal="left"/>
    </xf>
    <xf numFmtId="7" fontId="24" fillId="0" borderId="0" xfId="0" applyNumberFormat="1" applyFont="1" applyFill="1" applyAlignment="1">
      <alignment horizontal="center" vertical="center" wrapText="1"/>
    </xf>
    <xf numFmtId="0" fontId="24" fillId="0" borderId="0" xfId="0" applyNumberFormat="1" applyFont="1" applyFill="1" applyAlignment="1">
      <alignment horizontal="center"/>
    </xf>
    <xf numFmtId="167" fontId="24" fillId="0" borderId="0" xfId="2" applyNumberFormat="1" applyFont="1" applyFill="1" applyAlignment="1">
      <alignment horizontal="center"/>
    </xf>
    <xf numFmtId="170" fontId="24" fillId="0" borderId="0" xfId="0" applyNumberFormat="1" applyFont="1" applyFill="1" applyAlignment="1">
      <alignment horizontal="center"/>
    </xf>
    <xf numFmtId="0" fontId="26" fillId="46" borderId="1" xfId="0" applyFont="1" applyFill="1" applyBorder="1" applyAlignment="1" applyProtection="1">
      <alignment horizontal="centerContinuous"/>
    </xf>
    <xf numFmtId="0" fontId="26" fillId="46" borderId="7" xfId="0" applyFont="1" applyFill="1" applyBorder="1" applyAlignment="1" applyProtection="1">
      <alignment horizontal="centerContinuous"/>
    </xf>
    <xf numFmtId="0" fontId="26" fillId="46" borderId="2" xfId="0" applyFont="1" applyFill="1" applyBorder="1" applyAlignment="1" applyProtection="1">
      <alignment horizontal="centerContinuous"/>
    </xf>
    <xf numFmtId="0" fontId="26" fillId="46" borderId="3" xfId="0" applyFont="1" applyFill="1" applyBorder="1" applyAlignment="1" applyProtection="1">
      <alignment horizontal="centerContinuous"/>
    </xf>
    <xf numFmtId="0" fontId="26" fillId="46" borderId="0" xfId="0" applyFont="1" applyFill="1" applyBorder="1" applyAlignment="1" applyProtection="1">
      <alignment horizontal="centerContinuous"/>
    </xf>
    <xf numFmtId="0" fontId="26" fillId="46" borderId="4" xfId="0" applyFont="1" applyFill="1" applyBorder="1" applyAlignment="1" applyProtection="1">
      <alignment horizontal="centerContinuous"/>
    </xf>
    <xf numFmtId="0" fontId="26" fillId="46" borderId="5" xfId="0" applyFont="1" applyFill="1" applyBorder="1" applyAlignment="1" applyProtection="1">
      <alignment horizontal="center"/>
    </xf>
    <xf numFmtId="0" fontId="26" fillId="46" borderId="5" xfId="0" applyFont="1" applyFill="1" applyBorder="1" applyProtection="1"/>
    <xf numFmtId="0" fontId="26" fillId="46" borderId="8" xfId="0" applyFont="1" applyFill="1" applyBorder="1" applyProtection="1"/>
    <xf numFmtId="0" fontId="26" fillId="46" borderId="6" xfId="0" applyFont="1" applyFill="1" applyBorder="1" applyProtection="1"/>
    <xf numFmtId="7" fontId="24" fillId="46" borderId="32" xfId="77" applyNumberFormat="1" applyFont="1" applyFill="1" applyBorder="1" applyAlignment="1">
      <alignment horizontal="centerContinuous"/>
    </xf>
    <xf numFmtId="0" fontId="26" fillId="11" borderId="0" xfId="0" applyFont="1" applyFill="1" applyAlignment="1" applyProtection="1"/>
    <xf numFmtId="0" fontId="35" fillId="0" borderId="0" xfId="78" applyFont="1" applyAlignment="1">
      <alignment horizontal="center"/>
    </xf>
    <xf numFmtId="7" fontId="29" fillId="0" borderId="20" xfId="0" applyNumberFormat="1" applyFont="1" applyFill="1" applyBorder="1"/>
    <xf numFmtId="7" fontId="29" fillId="0" borderId="31" xfId="0" applyNumberFormat="1" applyFont="1" applyFill="1" applyBorder="1"/>
    <xf numFmtId="7" fontId="29" fillId="0" borderId="80" xfId="0" applyNumberFormat="1" applyFont="1" applyFill="1" applyBorder="1"/>
    <xf numFmtId="7" fontId="29" fillId="0" borderId="0" xfId="0" applyNumberFormat="1" applyFont="1" applyFill="1"/>
    <xf numFmtId="7" fontId="26" fillId="0" borderId="0" xfId="0" applyNumberFormat="1" applyFont="1" applyFill="1"/>
    <xf numFmtId="14" fontId="26" fillId="0" borderId="0" xfId="0" applyNumberFormat="1" applyFont="1" applyFill="1" applyAlignment="1">
      <alignment horizontal="left"/>
    </xf>
    <xf numFmtId="7" fontId="26" fillId="0" borderId="0" xfId="0" applyNumberFormat="1" applyFont="1" applyFill="1" applyAlignment="1">
      <alignment horizontal="center"/>
    </xf>
    <xf numFmtId="7" fontId="29" fillId="0" borderId="0" xfId="0" applyNumberFormat="1" applyFont="1" applyFill="1" applyAlignment="1">
      <alignment horizontal="center"/>
    </xf>
    <xf numFmtId="0" fontId="29" fillId="0" borderId="0" xfId="0" applyFont="1" applyFill="1"/>
    <xf numFmtId="7" fontId="29" fillId="0" borderId="0" xfId="0" applyNumberFormat="1" applyFont="1" applyFill="1" applyBorder="1"/>
    <xf numFmtId="7" fontId="29" fillId="0" borderId="30" xfId="0" applyNumberFormat="1" applyFont="1" applyFill="1" applyBorder="1"/>
    <xf numFmtId="7" fontId="29" fillId="0" borderId="39" xfId="0" applyNumberFormat="1" applyFont="1" applyFill="1" applyBorder="1" applyAlignment="1">
      <alignment horizontal="right"/>
    </xf>
    <xf numFmtId="177" fontId="29" fillId="0" borderId="30" xfId="2" applyNumberFormat="1" applyFont="1" applyFill="1" applyBorder="1"/>
    <xf numFmtId="10" fontId="29" fillId="0" borderId="30" xfId="0" applyNumberFormat="1" applyFont="1" applyFill="1" applyBorder="1"/>
    <xf numFmtId="10" fontId="29" fillId="0" borderId="0" xfId="0" applyNumberFormat="1" applyFont="1" applyFill="1"/>
    <xf numFmtId="0" fontId="26" fillId="0" borderId="0" xfId="0" applyFont="1" applyFill="1" applyBorder="1"/>
    <xf numFmtId="0" fontId="26" fillId="46" borderId="67" xfId="0" applyFont="1" applyFill="1" applyBorder="1" applyAlignment="1">
      <alignment horizontal="center"/>
    </xf>
    <xf numFmtId="167" fontId="29" fillId="0" borderId="0" xfId="2" applyNumberFormat="1" applyFont="1" applyFill="1"/>
    <xf numFmtId="7" fontId="24" fillId="0" borderId="0" xfId="0" applyNumberFormat="1" applyFont="1" applyFill="1"/>
    <xf numFmtId="0" fontId="26" fillId="0" borderId="0" xfId="0" applyFont="1" applyAlignment="1" applyProtection="1">
      <alignment horizontal="center"/>
    </xf>
    <xf numFmtId="0" fontId="26" fillId="0" borderId="0" xfId="0" applyFont="1" applyAlignment="1" applyProtection="1">
      <alignment horizontal="left"/>
    </xf>
    <xf numFmtId="0" fontId="26" fillId="0" borderId="3" xfId="0" applyFont="1" applyBorder="1" applyAlignment="1" applyProtection="1">
      <alignment horizontal="left" indent="2"/>
    </xf>
    <xf numFmtId="0" fontId="26" fillId="0" borderId="0" xfId="0" applyFont="1" applyBorder="1" applyAlignment="1" applyProtection="1">
      <alignment horizontal="left" indent="2"/>
    </xf>
    <xf numFmtId="0" fontId="26" fillId="0" borderId="0" xfId="0" applyFont="1" applyBorder="1" applyAlignment="1" applyProtection="1"/>
    <xf numFmtId="0" fontId="26" fillId="0" borderId="0" xfId="0" applyFont="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Protection="1"/>
    <xf numFmtId="7" fontId="24" fillId="0" borderId="0" xfId="77" applyNumberFormat="1" applyFont="1" applyAlignment="1">
      <alignment horizontal="right"/>
    </xf>
    <xf numFmtId="0" fontId="27" fillId="0" borderId="0" xfId="0" applyFont="1" applyAlignment="1" applyProtection="1">
      <alignment wrapText="1"/>
    </xf>
    <xf numFmtId="9" fontId="26" fillId="0" borderId="81" xfId="0" applyNumberFormat="1" applyFont="1" applyBorder="1" applyAlignment="1" applyProtection="1">
      <alignment horizontal="center"/>
    </xf>
    <xf numFmtId="7" fontId="26" fillId="0" borderId="82" xfId="0" applyNumberFormat="1" applyFont="1" applyBorder="1" applyAlignment="1" applyProtection="1">
      <alignment horizontal="center"/>
    </xf>
    <xf numFmtId="9" fontId="26" fillId="0" borderId="83" xfId="0" applyNumberFormat="1" applyFont="1" applyBorder="1" applyAlignment="1" applyProtection="1">
      <alignment horizontal="center"/>
    </xf>
    <xf numFmtId="7" fontId="26" fillId="0" borderId="84" xfId="0" applyNumberFormat="1" applyFont="1" applyBorder="1" applyAlignment="1" applyProtection="1">
      <alignment horizontal="center"/>
    </xf>
    <xf numFmtId="9" fontId="26" fillId="0" borderId="85" xfId="0" applyNumberFormat="1" applyFont="1" applyBorder="1" applyAlignment="1" applyProtection="1">
      <alignment horizontal="center"/>
    </xf>
    <xf numFmtId="7" fontId="26" fillId="0" borderId="86" xfId="0" applyNumberFormat="1" applyFont="1" applyBorder="1" applyAlignment="1" applyProtection="1">
      <alignment horizontal="center"/>
    </xf>
    <xf numFmtId="9" fontId="26" fillId="0" borderId="87" xfId="0" applyNumberFormat="1" applyFont="1" applyBorder="1" applyAlignment="1" applyProtection="1">
      <alignment horizontal="center"/>
    </xf>
    <xf numFmtId="7" fontId="26" fillId="0" borderId="88" xfId="0" applyNumberFormat="1" applyFont="1" applyBorder="1" applyAlignment="1" applyProtection="1">
      <alignment horizontal="center"/>
    </xf>
    <xf numFmtId="0" fontId="26" fillId="0" borderId="0" xfId="0" applyFont="1" applyFill="1" applyAlignment="1" applyProtection="1">
      <alignment horizontal="left"/>
    </xf>
    <xf numFmtId="0" fontId="35" fillId="0" borderId="0" xfId="0" applyFont="1" applyAlignment="1" applyProtection="1">
      <alignment horizontal="center" vertical="top"/>
    </xf>
    <xf numFmtId="170" fontId="34" fillId="0" borderId="0" xfId="0" applyNumberFormat="1" applyFont="1" applyBorder="1" applyAlignment="1" applyProtection="1">
      <alignment horizontal="center"/>
    </xf>
    <xf numFmtId="0" fontId="29" fillId="0" borderId="0" xfId="0" applyFont="1" applyBorder="1" applyAlignment="1" applyProtection="1">
      <alignment horizontal="center"/>
    </xf>
    <xf numFmtId="7" fontId="29" fillId="0" borderId="0" xfId="0" applyNumberFormat="1" applyFont="1" applyBorder="1" applyAlignment="1" applyProtection="1">
      <alignment horizontal="center"/>
    </xf>
    <xf numFmtId="170" fontId="34" fillId="0" borderId="0" xfId="1" applyNumberFormat="1" applyFont="1" applyBorder="1" applyAlignment="1" applyProtection="1">
      <alignment horizontal="center" wrapText="1"/>
    </xf>
    <xf numFmtId="170" fontId="34" fillId="0" borderId="0" xfId="0" applyNumberFormat="1" applyFont="1" applyBorder="1" applyAlignment="1" applyProtection="1">
      <alignment horizontal="center" wrapText="1"/>
    </xf>
    <xf numFmtId="9" fontId="34" fillId="0" borderId="0" xfId="0" applyNumberFormat="1" applyFont="1" applyBorder="1" applyAlignment="1" applyProtection="1">
      <alignment horizontal="right" wrapText="1"/>
    </xf>
    <xf numFmtId="0" fontId="26" fillId="0" borderId="91" xfId="0" applyFont="1" applyBorder="1" applyAlignment="1" applyProtection="1">
      <alignment horizontal="center"/>
    </xf>
    <xf numFmtId="0" fontId="26" fillId="0" borderId="93" xfId="0" applyFont="1" applyBorder="1" applyAlignment="1" applyProtection="1">
      <alignment horizontal="center"/>
    </xf>
    <xf numFmtId="170" fontId="26" fillId="0" borderId="94" xfId="0" applyNumberFormat="1" applyFont="1" applyBorder="1" applyAlignment="1" applyProtection="1">
      <alignment horizontal="center" vertical="center"/>
    </xf>
    <xf numFmtId="170" fontId="26" fillId="0" borderId="93" xfId="0" applyNumberFormat="1" applyFont="1" applyBorder="1" applyAlignment="1" applyProtection="1">
      <alignment horizontal="center" vertical="center"/>
    </xf>
    <xf numFmtId="170" fontId="26" fillId="0" borderId="0" xfId="0" applyNumberFormat="1" applyFont="1" applyBorder="1" applyAlignment="1" applyProtection="1">
      <alignment vertical="center"/>
    </xf>
    <xf numFmtId="0" fontId="26" fillId="0" borderId="99" xfId="0" applyFont="1" applyBorder="1" applyProtection="1"/>
    <xf numFmtId="170" fontId="26" fillId="0" borderId="0" xfId="0" applyNumberFormat="1" applyFont="1" applyBorder="1" applyAlignment="1" applyProtection="1">
      <alignment horizontal="center"/>
    </xf>
    <xf numFmtId="170" fontId="26" fillId="0" borderId="92" xfId="0" applyNumberFormat="1" applyFont="1" applyBorder="1" applyAlignment="1" applyProtection="1">
      <alignment horizontal="center"/>
    </xf>
    <xf numFmtId="0" fontId="26" fillId="0" borderId="102" xfId="0" applyFont="1" applyBorder="1" applyProtection="1"/>
    <xf numFmtId="0" fontId="26" fillId="0" borderId="101" xfId="0" applyFont="1" applyBorder="1" applyProtection="1"/>
    <xf numFmtId="0" fontId="26" fillId="0" borderId="97" xfId="0" applyFont="1" applyBorder="1" applyAlignment="1" applyProtection="1">
      <alignment horizontal="center"/>
    </xf>
    <xf numFmtId="0" fontId="26" fillId="0" borderId="98" xfId="0" applyFont="1" applyBorder="1" applyAlignment="1" applyProtection="1">
      <alignment horizontal="center"/>
    </xf>
    <xf numFmtId="170" fontId="40" fillId="0" borderId="94" xfId="0" applyNumberFormat="1" applyFont="1" applyBorder="1" applyAlignment="1" applyProtection="1">
      <alignment horizontal="center"/>
    </xf>
    <xf numFmtId="0" fontId="26" fillId="0" borderId="0" xfId="0" applyFont="1" applyAlignment="1" applyProtection="1">
      <alignment horizontal="justify"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9" fillId="0" borderId="0" xfId="0" applyFont="1" applyAlignment="1" applyProtection="1">
      <alignment horizontal="justify" wrapText="1"/>
    </xf>
    <xf numFmtId="0" fontId="26" fillId="0" borderId="0" xfId="0" applyFont="1" applyProtection="1"/>
    <xf numFmtId="0" fontId="26" fillId="0" borderId="0" xfId="0" applyFont="1" applyAlignment="1" applyProtection="1">
      <alignment horizontal="left"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Alignment="1" applyProtection="1"/>
    <xf numFmtId="0" fontId="26" fillId="0" borderId="0" xfId="0" applyFont="1" applyBorder="1" applyAlignment="1" applyProtection="1"/>
    <xf numFmtId="0" fontId="26" fillId="3" borderId="10" xfId="0" applyFont="1" applyFill="1" applyBorder="1" applyAlignment="1" applyProtection="1">
      <alignment horizontal="center"/>
    </xf>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Fill="1" applyBorder="1" applyAlignment="1" applyProtection="1">
      <alignment horizontal="left"/>
    </xf>
    <xf numFmtId="0" fontId="29" fillId="0" borderId="0" xfId="0" applyFont="1" applyAlignment="1" applyProtection="1">
      <alignment horizontal="left"/>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horizontal="left" indent="1"/>
    </xf>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9" fillId="0" borderId="0" xfId="0" applyFont="1" applyAlignment="1" applyProtection="1"/>
    <xf numFmtId="167" fontId="26" fillId="0" borderId="0" xfId="2" applyNumberFormat="1" applyFont="1" applyAlignment="1" applyProtection="1">
      <alignment horizontal="center"/>
    </xf>
    <xf numFmtId="0" fontId="26" fillId="0" borderId="0" xfId="0" applyFont="1" applyFill="1" applyAlignment="1" applyProtection="1">
      <alignment horizontal="center" wrapText="1"/>
    </xf>
    <xf numFmtId="9" fontId="26" fillId="0" borderId="0" xfId="2" applyFont="1" applyFill="1" applyAlignment="1" applyProtection="1">
      <alignment horizontal="center" wrapText="1"/>
    </xf>
    <xf numFmtId="9" fontId="26" fillId="0" borderId="0" xfId="2" applyFont="1" applyFill="1" applyAlignment="1" applyProtection="1">
      <alignment horizontal="center"/>
    </xf>
    <xf numFmtId="0" fontId="26" fillId="0" borderId="0" xfId="0" applyFont="1" applyAlignment="1" applyProtection="1">
      <alignment horizontal="right" vertical="top" wrapText="1"/>
    </xf>
    <xf numFmtId="170" fontId="26" fillId="3" borderId="11" xfId="0" applyNumberFormat="1" applyFont="1" applyFill="1" applyBorder="1" applyAlignment="1" applyProtection="1">
      <alignment horizontal="center"/>
    </xf>
    <xf numFmtId="170" fontId="26" fillId="4" borderId="11" xfId="0" applyNumberFormat="1" applyFont="1" applyFill="1" applyBorder="1" applyAlignment="1" applyProtection="1">
      <alignment horizontal="center"/>
      <protection locked="0"/>
    </xf>
    <xf numFmtId="2" fontId="26" fillId="0" borderId="34" xfId="0" applyNumberFormat="1" applyFont="1" applyBorder="1" applyAlignment="1" applyProtection="1">
      <alignment horizontal="center"/>
    </xf>
    <xf numFmtId="0" fontId="26" fillId="3" borderId="8"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Protection="1"/>
    <xf numFmtId="7" fontId="26" fillId="3" borderId="20" xfId="0" applyNumberFormat="1" applyFont="1" applyFill="1" applyBorder="1" applyAlignment="1" applyProtection="1"/>
    <xf numFmtId="7" fontId="26" fillId="0" borderId="0" xfId="0" applyNumberFormat="1" applyFont="1" applyAlignment="1" applyProtection="1"/>
    <xf numFmtId="0" fontId="26" fillId="3" borderId="9" xfId="0" applyFont="1" applyFill="1" applyBorder="1" applyProtection="1"/>
    <xf numFmtId="10" fontId="26" fillId="0" borderId="0" xfId="0" applyNumberFormat="1" applyFont="1" applyBorder="1" applyAlignment="1" applyProtection="1">
      <alignment horizontal="center"/>
      <protection locked="0"/>
    </xf>
    <xf numFmtId="0" fontId="26" fillId="0" borderId="0" xfId="0" applyFont="1" applyBorder="1" applyAlignment="1" applyProtection="1">
      <alignment horizontal="center"/>
      <protection locked="0"/>
    </xf>
    <xf numFmtId="166" fontId="26" fillId="0" borderId="0" xfId="0" applyNumberFormat="1" applyFont="1" applyFill="1" applyBorder="1" applyAlignment="1" applyProtection="1">
      <alignment horizontal="center"/>
      <protection locked="0"/>
    </xf>
    <xf numFmtId="178" fontId="26" fillId="0" borderId="0" xfId="0" applyNumberFormat="1" applyFont="1" applyBorder="1" applyAlignment="1" applyProtection="1">
      <alignment horizontal="center"/>
      <protection locked="0"/>
    </xf>
    <xf numFmtId="178" fontId="41" fillId="0" borderId="0" xfId="2" applyNumberFormat="1" applyFont="1" applyBorder="1" applyAlignment="1">
      <alignment horizontal="center"/>
    </xf>
    <xf numFmtId="0" fontId="41" fillId="0" borderId="0" xfId="3" applyFont="1" applyBorder="1" applyAlignment="1" applyProtection="1">
      <alignment horizontal="center" wrapText="1"/>
      <protection locked="0"/>
    </xf>
    <xf numFmtId="0" fontId="41" fillId="0" borderId="0" xfId="0" applyFont="1" applyBorder="1" applyAlignment="1">
      <alignment horizontal="center" wrapText="1"/>
    </xf>
    <xf numFmtId="178" fontId="41" fillId="0" borderId="0" xfId="2" applyNumberFormat="1" applyFont="1" applyFill="1" applyBorder="1" applyAlignment="1">
      <alignment horizontal="center"/>
    </xf>
    <xf numFmtId="10" fontId="41" fillId="0" borderId="0" xfId="2" applyNumberFormat="1" applyFont="1" applyBorder="1" applyAlignment="1">
      <alignment horizontal="center"/>
    </xf>
    <xf numFmtId="178" fontId="43" fillId="0" borderId="0" xfId="0" applyNumberFormat="1" applyFont="1" applyFill="1" applyBorder="1" applyAlignment="1">
      <alignment horizontal="center" vertical="top" wrapText="1"/>
    </xf>
    <xf numFmtId="178" fontId="43" fillId="0" borderId="0" xfId="2" applyNumberFormat="1" applyFont="1" applyFill="1" applyBorder="1" applyAlignment="1">
      <alignment horizontal="center" vertical="top" wrapText="1"/>
    </xf>
    <xf numFmtId="10" fontId="41" fillId="0" borderId="0" xfId="1" applyNumberFormat="1" applyFont="1" applyBorder="1" applyAlignment="1">
      <alignment horizontal="center"/>
    </xf>
    <xf numFmtId="166" fontId="41" fillId="0" borderId="0" xfId="46" applyNumberFormat="1" applyFont="1" applyFill="1" applyBorder="1" applyAlignment="1" applyProtection="1">
      <alignment horizontal="center"/>
      <protection locked="0"/>
    </xf>
    <xf numFmtId="178" fontId="41" fillId="0" borderId="0" xfId="3" applyNumberFormat="1" applyFont="1" applyBorder="1" applyAlignment="1" applyProtection="1">
      <alignment horizontal="center" wrapText="1"/>
      <protection locked="0"/>
    </xf>
    <xf numFmtId="0" fontId="41" fillId="0" borderId="0" xfId="0" applyFont="1" applyBorder="1" applyAlignment="1">
      <alignment horizontal="center"/>
    </xf>
    <xf numFmtId="0" fontId="23" fillId="0" borderId="64" xfId="3" applyFont="1" applyFill="1" applyBorder="1"/>
    <xf numFmtId="0" fontId="49" fillId="0" borderId="0" xfId="0" applyFont="1" applyFill="1" applyBorder="1" applyAlignment="1">
      <alignment horizontal="left" vertical="top" wrapText="1"/>
    </xf>
    <xf numFmtId="180" fontId="50" fillId="0" borderId="0" xfId="0" applyNumberFormat="1" applyFont="1" applyFill="1" applyBorder="1" applyAlignment="1">
      <alignment horizontal="center" vertical="top" wrapText="1"/>
    </xf>
    <xf numFmtId="0" fontId="49" fillId="0" borderId="0" xfId="0" applyFont="1" applyFill="1" applyBorder="1" applyAlignment="1">
      <alignment horizontal="center"/>
    </xf>
    <xf numFmtId="0" fontId="23" fillId="0" borderId="0" xfId="3" applyFont="1" applyFill="1" applyBorder="1"/>
    <xf numFmtId="0" fontId="26" fillId="0" borderId="0" xfId="0" applyFont="1" applyFill="1" applyAlignment="1" applyProtection="1">
      <alignment wrapText="1"/>
    </xf>
    <xf numFmtId="10" fontId="26" fillId="3" borderId="8" xfId="1" applyNumberFormat="1" applyFont="1" applyFill="1" applyBorder="1" applyAlignment="1" applyProtection="1">
      <alignment horizontal="center"/>
    </xf>
    <xf numFmtId="0" fontId="26" fillId="0" borderId="0" xfId="0" applyFont="1" applyFill="1" applyBorder="1" applyAlignment="1" applyProtection="1">
      <alignment horizontal="center" wrapText="1"/>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7" fillId="0" borderId="0" xfId="0" applyFont="1" applyAlignment="1" applyProtection="1">
      <alignment horizontal="justify" wrapText="1"/>
    </xf>
    <xf numFmtId="0" fontId="26" fillId="0" borderId="0" xfId="0" applyFont="1" applyAlignment="1" applyProtection="1">
      <alignment horizontal="left"/>
    </xf>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wrapText="1"/>
    </xf>
    <xf numFmtId="0" fontId="26" fillId="0" borderId="0" xfId="0" applyFont="1" applyFill="1" applyBorder="1" applyAlignment="1" applyProtection="1">
      <alignment wrapText="1"/>
    </xf>
    <xf numFmtId="0" fontId="26" fillId="0" borderId="0" xfId="0" applyFont="1" applyFill="1" applyBorder="1" applyAlignment="1" applyProtection="1"/>
    <xf numFmtId="0" fontId="26" fillId="4" borderId="8" xfId="0" applyFont="1" applyFill="1" applyBorder="1" applyAlignment="1" applyProtection="1">
      <alignment wrapText="1"/>
      <protection locked="0"/>
    </xf>
    <xf numFmtId="0" fontId="26" fillId="0" borderId="0" xfId="3" applyFont="1" applyAlignment="1" applyProtection="1">
      <alignment horizontal="left"/>
    </xf>
    <xf numFmtId="0" fontId="26" fillId="0" borderId="0" xfId="3" applyFont="1" applyAlignment="1" applyProtection="1">
      <alignment horizontal="justify" wrapText="1"/>
    </xf>
    <xf numFmtId="178" fontId="26" fillId="3" borderId="8" xfId="1" applyNumberFormat="1" applyFont="1" applyFill="1" applyBorder="1" applyAlignment="1" applyProtection="1">
      <alignment horizontal="center"/>
    </xf>
    <xf numFmtId="176" fontId="26" fillId="3" borderId="11" xfId="2" applyNumberFormat="1" applyFont="1" applyFill="1" applyBorder="1" applyAlignment="1" applyProtection="1">
      <alignment horizontal="center"/>
    </xf>
    <xf numFmtId="178" fontId="26" fillId="3" borderId="11" xfId="2" applyNumberFormat="1" applyFont="1" applyFill="1" applyBorder="1" applyAlignment="1" applyProtection="1">
      <alignment horizontal="center"/>
    </xf>
    <xf numFmtId="1" fontId="26" fillId="3" borderId="8" xfId="1" applyNumberFormat="1" applyFont="1" applyFill="1" applyBorder="1" applyAlignment="1" applyProtection="1">
      <alignment horizontal="center"/>
    </xf>
    <xf numFmtId="1" fontId="26" fillId="3" borderId="11" xfId="2" applyNumberFormat="1" applyFont="1" applyFill="1" applyBorder="1" applyAlignment="1" applyProtection="1">
      <alignment horizontal="center"/>
    </xf>
    <xf numFmtId="0" fontId="29" fillId="0" borderId="0" xfId="0" applyFont="1" applyFill="1" applyBorder="1"/>
    <xf numFmtId="0" fontId="29" fillId="0" borderId="0" xfId="0" applyFont="1" applyFill="1" applyBorder="1" applyAlignment="1">
      <alignment horizontal="center"/>
    </xf>
    <xf numFmtId="0" fontId="29" fillId="0" borderId="0" xfId="3" applyFont="1" applyFill="1" applyBorder="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Protection="1"/>
    <xf numFmtId="0" fontId="40" fillId="0" borderId="0" xfId="0" quotePrefix="1" applyFont="1" applyFill="1" applyAlignment="1" applyProtection="1">
      <alignment horizontal="center"/>
    </xf>
    <xf numFmtId="0" fontId="40" fillId="0" borderId="0" xfId="0" applyFont="1" applyFill="1" applyAlignment="1" applyProtection="1">
      <alignment horizontal="center"/>
    </xf>
    <xf numFmtId="0" fontId="26" fillId="0" borderId="0" xfId="0" applyFont="1" applyFill="1" applyAlignment="1" applyProtection="1">
      <alignment horizontal="left" indent="1"/>
    </xf>
    <xf numFmtId="9" fontId="26" fillId="0" borderId="0" xfId="2" applyFont="1" applyFill="1" applyBorder="1" applyAlignment="1" applyProtection="1">
      <alignment horizontal="center" wrapText="1"/>
    </xf>
    <xf numFmtId="0" fontId="26" fillId="11" borderId="0" xfId="3" applyFont="1" applyFill="1" applyAlignment="1" applyProtection="1">
      <alignment horizontal="center"/>
    </xf>
    <xf numFmtId="0" fontId="26" fillId="0" borderId="0" xfId="3" applyFont="1" applyFill="1" applyProtection="1"/>
    <xf numFmtId="0" fontId="26" fillId="0" borderId="0" xfId="3" applyFont="1" applyFill="1" applyAlignment="1" applyProtection="1">
      <alignment horizontal="center"/>
    </xf>
    <xf numFmtId="0" fontId="26" fillId="0" borderId="0" xfId="0" applyFont="1" applyFill="1" applyBorder="1" applyAlignment="1" applyProtection="1">
      <alignment horizontal="justify" wrapText="1"/>
    </xf>
    <xf numFmtId="0" fontId="26" fillId="0" borderId="0" xfId="3" applyFont="1" applyFill="1" applyBorder="1" applyAlignment="1" applyProtection="1">
      <alignment horizontal="center"/>
    </xf>
    <xf numFmtId="0" fontId="26" fillId="0" borderId="0" xfId="3" applyFont="1" applyFill="1" applyBorder="1" applyAlignment="1" applyProtection="1"/>
    <xf numFmtId="0" fontId="26" fillId="0" borderId="0" xfId="3" applyFont="1" applyFill="1" applyBorder="1" applyAlignment="1" applyProtection="1">
      <alignment horizontal="justify" wrapText="1"/>
    </xf>
    <xf numFmtId="0" fontId="26" fillId="0" borderId="0" xfId="3" applyFont="1" applyFill="1" applyBorder="1" applyAlignment="1" applyProtection="1">
      <alignment horizontal="center" wrapText="1"/>
    </xf>
    <xf numFmtId="0" fontId="26" fillId="0" borderId="0" xfId="3" applyFont="1" applyFill="1" applyBorder="1" applyAlignment="1" applyProtection="1">
      <alignment horizontal="right" vertical="top" wrapText="1"/>
    </xf>
    <xf numFmtId="0" fontId="26" fillId="0" borderId="0" xfId="0" applyFont="1" applyFill="1" applyBorder="1" applyAlignment="1" applyProtection="1">
      <alignment vertical="center" wrapText="1"/>
    </xf>
    <xf numFmtId="0" fontId="26" fillId="0" borderId="0" xfId="3" applyFont="1" applyFill="1" applyBorder="1" applyAlignment="1" applyProtection="1">
      <alignment wrapText="1"/>
    </xf>
    <xf numFmtId="0" fontId="26" fillId="0" borderId="0" xfId="3" applyFont="1" applyFill="1" applyAlignment="1" applyProtection="1">
      <alignment horizontal="justify"/>
    </xf>
    <xf numFmtId="0" fontId="26" fillId="0" borderId="0" xfId="3" quotePrefix="1" applyFont="1" applyFill="1" applyBorder="1" applyAlignment="1" applyProtection="1">
      <alignment horizontal="center" wrapText="1"/>
    </xf>
    <xf numFmtId="0" fontId="52" fillId="0" borderId="0" xfId="3" applyFont="1" applyFill="1" applyBorder="1" applyAlignment="1" applyProtection="1">
      <alignment vertical="center" wrapText="1"/>
    </xf>
    <xf numFmtId="0" fontId="26" fillId="10" borderId="0" xfId="3" applyFont="1" applyFill="1" applyAlignment="1" applyProtection="1"/>
    <xf numFmtId="0" fontId="26" fillId="0" borderId="0" xfId="3" applyFont="1" applyBorder="1" applyAlignment="1" applyProtection="1"/>
    <xf numFmtId="0" fontId="29" fillId="0" borderId="0" xfId="3" applyFont="1" applyAlignment="1" applyProtection="1"/>
    <xf numFmtId="3" fontId="26" fillId="0" borderId="0" xfId="81" applyNumberFormat="1" applyFont="1" applyAlignment="1" applyProtection="1">
      <alignment horizontal="center"/>
    </xf>
    <xf numFmtId="0" fontId="26" fillId="4" borderId="8" xfId="0" applyFont="1" applyFill="1" applyBorder="1" applyAlignment="1" applyProtection="1">
      <alignment horizontal="center" wrapText="1"/>
      <protection locked="0"/>
    </xf>
    <xf numFmtId="0" fontId="29" fillId="4" borderId="9" xfId="0" applyFont="1" applyFill="1" applyBorder="1" applyAlignment="1" applyProtection="1">
      <alignment horizontal="left"/>
    </xf>
    <xf numFmtId="0" fontId="29" fillId="4" borderId="12" xfId="0" applyFont="1" applyFill="1" applyBorder="1" applyAlignment="1" applyProtection="1">
      <alignment horizontal="left"/>
    </xf>
    <xf numFmtId="0" fontId="26" fillId="0" borderId="0" xfId="0" applyFont="1" applyAlignment="1" applyProtection="1">
      <alignment horizontal="center"/>
    </xf>
    <xf numFmtId="0" fontId="26" fillId="0" borderId="0" xfId="0" applyFont="1" applyAlignment="1" applyProtection="1">
      <alignment horizontal="left"/>
    </xf>
    <xf numFmtId="0" fontId="26" fillId="3" borderId="8" xfId="0" applyFont="1" applyFill="1" applyBorder="1" applyAlignment="1" applyProtection="1">
      <alignment horizontal="center" wrapText="1"/>
    </xf>
    <xf numFmtId="0" fontId="26" fillId="0" borderId="0" xfId="0" applyFont="1" applyAlignment="1" applyProtection="1"/>
    <xf numFmtId="0" fontId="26" fillId="0" borderId="0" xfId="0" applyFont="1" applyBorder="1" applyAlignment="1" applyProtection="1">
      <alignment horizontal="center"/>
    </xf>
    <xf numFmtId="14" fontId="26" fillId="4" borderId="10" xfId="0" applyNumberFormat="1" applyFont="1" applyFill="1" applyBorder="1" applyAlignment="1" applyProtection="1">
      <alignment horizontal="center"/>
    </xf>
    <xf numFmtId="14" fontId="26" fillId="4" borderId="12" xfId="0" applyNumberFormat="1" applyFont="1" applyFill="1" applyBorder="1" applyAlignment="1" applyProtection="1">
      <alignment horizontal="center"/>
    </xf>
    <xf numFmtId="10" fontId="26" fillId="4" borderId="10" xfId="0" applyNumberFormat="1" applyFont="1" applyFill="1" applyBorder="1" applyAlignment="1" applyProtection="1">
      <alignment horizontal="left"/>
    </xf>
    <xf numFmtId="14" fontId="26" fillId="4" borderId="9" xfId="0" applyNumberFormat="1" applyFont="1" applyFill="1" applyBorder="1" applyAlignment="1" applyProtection="1">
      <alignment horizontal="center"/>
    </xf>
    <xf numFmtId="0" fontId="26" fillId="0" borderId="0" xfId="0" applyFont="1" applyBorder="1" applyAlignment="1" applyProtection="1">
      <alignment horizontal="left"/>
    </xf>
    <xf numFmtId="0" fontId="26" fillId="0" borderId="0" xfId="0" applyFont="1" applyFill="1" applyBorder="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6" fillId="0" borderId="0" xfId="0" applyFont="1" applyProtection="1"/>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7" fillId="0" borderId="0" xfId="0" applyFont="1" applyAlignment="1" applyProtection="1">
      <alignment horizontal="center"/>
    </xf>
    <xf numFmtId="0" fontId="26" fillId="3" borderId="15" xfId="0" applyFont="1" applyFill="1" applyBorder="1" applyAlignment="1" applyProtection="1">
      <alignment horizontal="center"/>
    </xf>
    <xf numFmtId="0" fontId="24" fillId="9" borderId="0" xfId="0" applyFont="1" applyFill="1" applyAlignment="1">
      <alignment horizontal="center" vertical="center"/>
    </xf>
    <xf numFmtId="0" fontId="24" fillId="0" borderId="0" xfId="0" applyFont="1" applyFill="1" applyAlignment="1">
      <alignment horizontal="center" vertical="center"/>
    </xf>
    <xf numFmtId="0" fontId="26" fillId="3" borderId="113" xfId="0" applyFont="1" applyFill="1" applyBorder="1" applyAlignment="1" applyProtection="1">
      <alignment horizontal="center"/>
    </xf>
    <xf numFmtId="0" fontId="26" fillId="0" borderId="0" xfId="0" applyFont="1" applyAlignment="1">
      <alignment horizontal="left" vertical="center" wrapText="1"/>
    </xf>
    <xf numFmtId="0" fontId="26" fillId="0" borderId="40" xfId="0" applyFont="1" applyBorder="1" applyAlignment="1">
      <alignment vertical="center" wrapText="1"/>
    </xf>
    <xf numFmtId="0" fontId="29" fillId="0" borderId="0" xfId="0" applyFont="1" applyAlignment="1" applyProtection="1">
      <alignment horizontal="right"/>
    </xf>
    <xf numFmtId="0" fontId="27" fillId="0" borderId="0" xfId="0" applyFont="1" applyProtection="1"/>
    <xf numFmtId="0" fontId="27" fillId="10" borderId="0" xfId="0" applyFont="1" applyFill="1" applyProtection="1"/>
    <xf numFmtId="0" fontId="37" fillId="0" borderId="0" xfId="0" applyFont="1" applyAlignment="1" applyProtection="1">
      <alignment wrapText="1"/>
    </xf>
    <xf numFmtId="170" fontId="40" fillId="0" borderId="0" xfId="0" applyNumberFormat="1" applyFont="1" applyBorder="1" applyAlignment="1" applyProtection="1">
      <alignment horizontal="center"/>
    </xf>
    <xf numFmtId="0" fontId="49" fillId="0" borderId="0" xfId="0" applyFont="1" applyFill="1" applyBorder="1" applyAlignment="1">
      <alignment horizontal="center" vertical="top" wrapText="1"/>
    </xf>
    <xf numFmtId="181" fontId="26" fillId="0" borderId="34" xfId="0" applyNumberFormat="1" applyFont="1" applyBorder="1" applyAlignment="1" applyProtection="1">
      <alignment horizontal="center"/>
    </xf>
    <xf numFmtId="0" fontId="26" fillId="0" borderId="0" xfId="0" applyFont="1" applyAlignment="1" applyProtection="1">
      <alignment horizontal="center"/>
    </xf>
    <xf numFmtId="0" fontId="27" fillId="0" borderId="0" xfId="0" applyFont="1" applyAlignment="1" applyProtection="1">
      <alignment horizontal="justify" wrapText="1"/>
    </xf>
    <xf numFmtId="0" fontId="26" fillId="0" borderId="0" xfId="0" applyFont="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Protection="1"/>
    <xf numFmtId="0" fontId="26" fillId="0" borderId="0" xfId="0" applyFont="1" applyBorder="1" applyProtection="1"/>
    <xf numFmtId="0" fontId="26" fillId="0" borderId="0" xfId="0" applyFont="1" applyProtection="1"/>
    <xf numFmtId="0" fontId="29" fillId="0" borderId="40" xfId="0" applyFont="1" applyBorder="1" applyAlignment="1">
      <alignment vertical="center" wrapText="1"/>
    </xf>
    <xf numFmtId="0" fontId="29" fillId="0" borderId="0" xfId="0" applyFont="1" applyAlignment="1">
      <alignment vertical="center" wrapText="1"/>
    </xf>
    <xf numFmtId="0" fontId="29" fillId="0" borderId="39" xfId="0" applyFont="1" applyBorder="1" applyAlignment="1">
      <alignment vertical="center" wrapText="1"/>
    </xf>
    <xf numFmtId="0" fontId="29" fillId="0" borderId="30" xfId="0" applyFont="1" applyBorder="1" applyAlignment="1">
      <alignment vertical="center" wrapText="1"/>
    </xf>
    <xf numFmtId="171" fontId="26" fillId="3" borderId="0" xfId="0" applyNumberFormat="1" applyFont="1" applyFill="1" applyBorder="1" applyAlignment="1" applyProtection="1">
      <alignment horizontal="center"/>
    </xf>
    <xf numFmtId="0" fontId="26" fillId="6" borderId="31" xfId="0" applyFont="1" applyFill="1" applyBorder="1" applyAlignment="1" applyProtection="1"/>
    <xf numFmtId="1" fontId="26" fillId="6" borderId="8" xfId="0" applyNumberFormat="1" applyFont="1" applyFill="1" applyBorder="1" applyAlignment="1" applyProtection="1"/>
    <xf numFmtId="1" fontId="26" fillId="6" borderId="0" xfId="0" applyNumberFormat="1" applyFont="1" applyFill="1" applyAlignment="1" applyProtection="1"/>
    <xf numFmtId="0" fontId="25" fillId="3" borderId="11" xfId="0" applyFont="1" applyFill="1" applyBorder="1" applyAlignment="1" applyProtection="1">
      <alignment horizontal="center" wrapText="1"/>
    </xf>
    <xf numFmtId="0" fontId="25" fillId="3" borderId="11" xfId="0" applyFont="1" applyFill="1" applyBorder="1" applyAlignment="1" applyProtection="1">
      <alignment horizontal="center"/>
    </xf>
    <xf numFmtId="0" fontId="25" fillId="4" borderId="11" xfId="0" applyFont="1" applyFill="1" applyBorder="1" applyAlignment="1" applyProtection="1">
      <alignment horizontal="center" wrapText="1"/>
      <protection locked="0"/>
    </xf>
    <xf numFmtId="0" fontId="26" fillId="6" borderId="99" xfId="0" applyFont="1" applyFill="1" applyBorder="1" applyAlignment="1" applyProtection="1"/>
    <xf numFmtId="49" fontId="0" fillId="0" borderId="0" xfId="0" applyNumberFormat="1"/>
    <xf numFmtId="49" fontId="26" fillId="6" borderId="0" xfId="0" applyNumberFormat="1" applyFont="1" applyFill="1" applyProtection="1"/>
    <xf numFmtId="49" fontId="26" fillId="6" borderId="0" xfId="0" applyNumberFormat="1" applyFont="1" applyFill="1" applyAlignment="1" applyProtection="1">
      <alignment horizontal="center"/>
    </xf>
    <xf numFmtId="49" fontId="26" fillId="6" borderId="9" xfId="0" applyNumberFormat="1" applyFont="1" applyFill="1" applyBorder="1" applyAlignment="1" applyProtection="1"/>
    <xf numFmtId="49" fontId="26" fillId="6" borderId="8" xfId="0" applyNumberFormat="1" applyFont="1" applyFill="1" applyBorder="1" applyAlignment="1" applyProtection="1"/>
    <xf numFmtId="49" fontId="26" fillId="6" borderId="5" xfId="0" applyNumberFormat="1" applyFont="1" applyFill="1" applyBorder="1" applyAlignment="1" applyProtection="1">
      <alignment horizontal="center"/>
    </xf>
    <xf numFmtId="49" fontId="26" fillId="6" borderId="14" xfId="0" applyNumberFormat="1" applyFont="1" applyFill="1" applyBorder="1" applyAlignment="1" applyProtection="1">
      <alignment horizontal="center"/>
    </xf>
    <xf numFmtId="49" fontId="26" fillId="6" borderId="11" xfId="0" applyNumberFormat="1"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center"/>
    </xf>
    <xf numFmtId="0" fontId="26" fillId="0" borderId="0" xfId="0" applyFont="1" applyBorder="1" applyAlignment="1" applyProtection="1">
      <alignment horizontal="center"/>
    </xf>
    <xf numFmtId="0" fontId="26" fillId="0" borderId="0" xfId="0" applyFont="1" applyBorder="1" applyProtection="1"/>
    <xf numFmtId="0" fontId="26" fillId="0" borderId="0" xfId="0" applyFont="1" applyAlignment="1" applyProtection="1">
      <alignment horizontal="left"/>
    </xf>
    <xf numFmtId="0" fontId="26" fillId="0" borderId="34" xfId="0" applyFont="1" applyFill="1" applyBorder="1" applyAlignment="1" applyProtection="1">
      <alignment horizontal="center"/>
    </xf>
    <xf numFmtId="171" fontId="26" fillId="0" borderId="0" xfId="0" applyNumberFormat="1" applyFont="1" applyBorder="1" applyAlignment="1" applyProtection="1">
      <alignment horizontal="center"/>
    </xf>
    <xf numFmtId="181" fontId="26" fillId="0" borderId="0" xfId="0" applyNumberFormat="1" applyFont="1" applyBorder="1" applyAlignment="1" applyProtection="1">
      <alignment horizontal="center"/>
    </xf>
    <xf numFmtId="167" fontId="26" fillId="13" borderId="0" xfId="2" applyNumberFormat="1" applyFont="1" applyFill="1" applyAlignment="1" applyProtection="1">
      <alignment horizontal="center"/>
    </xf>
    <xf numFmtId="0" fontId="26" fillId="0" borderId="34" xfId="3" applyFont="1" applyBorder="1" applyAlignment="1" applyProtection="1">
      <alignment horizontal="center"/>
    </xf>
    <xf numFmtId="0" fontId="26" fillId="0" borderId="0" xfId="0" applyFont="1" applyFill="1" applyAlignment="1" applyProtection="1">
      <alignment horizontal="left"/>
    </xf>
    <xf numFmtId="0" fontId="26" fillId="0" borderId="0" xfId="0" applyFont="1" applyFill="1" applyBorder="1" applyAlignment="1" applyProtection="1">
      <alignment horizontal="center"/>
    </xf>
    <xf numFmtId="0" fontId="26" fillId="0" borderId="0" xfId="0" applyFont="1" applyAlignment="1" applyProtection="1"/>
    <xf numFmtId="0" fontId="26" fillId="0" borderId="0" xfId="0" applyFont="1" applyAlignment="1" applyProtection="1">
      <alignment horizontal="center"/>
    </xf>
    <xf numFmtId="0" fontId="26" fillId="0" borderId="0" xfId="0" applyFont="1" applyAlignment="1" applyProtection="1">
      <alignment horizontal="left"/>
    </xf>
    <xf numFmtId="7" fontId="26" fillId="4" borderId="12" xfId="0" applyNumberFormat="1" applyFont="1" applyFill="1" applyBorder="1" applyAlignment="1" applyProtection="1">
      <alignment horizontal="center"/>
      <protection locked="0"/>
    </xf>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xf numFmtId="0" fontId="26" fillId="0" borderId="0" xfId="0" applyFont="1" applyProtection="1"/>
    <xf numFmtId="0" fontId="26" fillId="0" borderId="0" xfId="0" applyFont="1" applyAlignment="1" applyProtection="1">
      <alignment horizontal="left"/>
    </xf>
    <xf numFmtId="0" fontId="26" fillId="3" borderId="10" xfId="0" applyFont="1" applyFill="1" applyBorder="1" applyAlignment="1" applyProtection="1">
      <alignment horizontal="center" wrapText="1"/>
    </xf>
    <xf numFmtId="0" fontId="26" fillId="0" borderId="10" xfId="0" applyFont="1" applyBorder="1" applyAlignment="1" applyProtection="1">
      <alignment horizontal="center"/>
    </xf>
    <xf numFmtId="0" fontId="26" fillId="0" borderId="0" xfId="0" applyFont="1" applyBorder="1" applyAlignment="1" applyProtection="1">
      <alignment horizontal="center"/>
    </xf>
    <xf numFmtId="0" fontId="26" fillId="0" borderId="11" xfId="0" applyFont="1" applyBorder="1" applyAlignment="1" applyProtection="1">
      <alignment horizontal="center"/>
    </xf>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6" fillId="0" borderId="0" xfId="0" applyFont="1" applyFill="1" applyAlignment="1" applyProtection="1">
      <alignment horizontal="left"/>
    </xf>
    <xf numFmtId="0" fontId="26" fillId="3" borderId="11" xfId="0" applyFont="1" applyFill="1" applyBorder="1" applyAlignment="1" applyProtection="1">
      <alignment horizontal="center"/>
    </xf>
    <xf numFmtId="0" fontId="26" fillId="0" borderId="0" xfId="0" applyFont="1" applyFill="1" applyBorder="1" applyAlignment="1" applyProtection="1"/>
    <xf numFmtId="0" fontId="26" fillId="3" borderId="12" xfId="0" applyFont="1" applyFill="1" applyBorder="1" applyAlignment="1" applyProtection="1">
      <alignment horizontal="center" wrapText="1"/>
    </xf>
    <xf numFmtId="0" fontId="26" fillId="0" borderId="36" xfId="0" applyFont="1" applyFill="1" applyBorder="1" applyAlignment="1" applyProtection="1">
      <alignment horizontal="center"/>
    </xf>
    <xf numFmtId="170" fontId="26" fillId="3" borderId="11" xfId="0" applyNumberFormat="1" applyFont="1" applyFill="1" applyBorder="1" applyAlignment="1" applyProtection="1">
      <alignment horizontal="right"/>
    </xf>
    <xf numFmtId="2" fontId="33" fillId="3" borderId="22" xfId="0" applyNumberFormat="1" applyFont="1" applyFill="1" applyBorder="1" applyAlignment="1" applyProtection="1">
      <alignment horizontal="right"/>
    </xf>
    <xf numFmtId="170" fontId="33" fillId="3" borderId="11" xfId="0" applyNumberFormat="1" applyFont="1" applyFill="1" applyBorder="1" applyAlignment="1" applyProtection="1">
      <alignment horizontal="right"/>
    </xf>
    <xf numFmtId="0" fontId="26" fillId="4" borderId="8" xfId="0" applyFont="1" applyFill="1" applyBorder="1" applyAlignment="1" applyProtection="1">
      <alignment horizontal="left"/>
      <protection locked="0"/>
    </xf>
    <xf numFmtId="0" fontId="26" fillId="4" borderId="8" xfId="0" applyFont="1" applyFill="1" applyBorder="1" applyAlignment="1" applyProtection="1">
      <alignment horizontal="center"/>
      <protection locked="0"/>
    </xf>
    <xf numFmtId="0" fontId="26" fillId="0" borderId="0" xfId="0" applyFont="1" applyAlignment="1" applyProtection="1">
      <alignment horizontal="justify" wrapText="1"/>
    </xf>
    <xf numFmtId="0" fontId="26" fillId="0" borderId="0" xfId="0" applyFont="1" applyAlignment="1" applyProtection="1">
      <alignment horizontal="center"/>
    </xf>
    <xf numFmtId="0" fontId="26" fillId="0" borderId="0" xfId="0" applyFont="1" applyAlignment="1" applyProtection="1"/>
    <xf numFmtId="0" fontId="26" fillId="0" borderId="0" xfId="0" applyFont="1" applyProtection="1"/>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0" xfId="0" applyFont="1" applyAlignment="1" applyProtection="1">
      <alignment horizontal="right"/>
    </xf>
    <xf numFmtId="0" fontId="26" fillId="0" borderId="7" xfId="0" applyFont="1" applyBorder="1" applyProtection="1"/>
    <xf numFmtId="0" fontId="26" fillId="0" borderId="0" xfId="0" applyFont="1" applyBorder="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wrapText="1"/>
      <protection locked="0"/>
    </xf>
    <xf numFmtId="0" fontId="26" fillId="0" borderId="0" xfId="0" applyFont="1" applyAlignment="1" applyProtection="1"/>
    <xf numFmtId="0" fontId="26" fillId="0" borderId="0" xfId="0" applyFont="1" applyProtection="1"/>
    <xf numFmtId="0" fontId="26" fillId="0" borderId="0" xfId="0" applyFont="1" applyAlignment="1" applyProtection="1">
      <alignment horizontal="center"/>
    </xf>
    <xf numFmtId="0" fontId="26" fillId="0" borderId="0" xfId="0" applyFont="1" applyFill="1" applyAlignment="1" applyProtection="1">
      <alignment horizontal="left"/>
    </xf>
    <xf numFmtId="181" fontId="26" fillId="0" borderId="0" xfId="0" applyNumberFormat="1" applyFont="1" applyProtection="1"/>
    <xf numFmtId="2" fontId="26" fillId="0" borderId="0" xfId="0" applyNumberFormat="1" applyFont="1" applyAlignment="1" applyProtection="1">
      <alignment horizontal="center"/>
    </xf>
    <xf numFmtId="2" fontId="26" fillId="0" borderId="0" xfId="0" applyNumberFormat="1" applyFont="1" applyProtection="1"/>
    <xf numFmtId="0" fontId="26" fillId="4" borderId="8" xfId="0" applyFont="1" applyFill="1" applyBorder="1" applyAlignment="1" applyProtection="1">
      <alignment horizontal="left"/>
      <protection locked="0"/>
    </xf>
    <xf numFmtId="0" fontId="26" fillId="4" borderId="8" xfId="0" applyFont="1" applyFill="1" applyBorder="1" applyAlignment="1" applyProtection="1">
      <alignment horizontal="center"/>
      <protection locked="0"/>
    </xf>
    <xf numFmtId="0" fontId="26" fillId="0" borderId="0" xfId="0" applyFont="1" applyProtection="1"/>
    <xf numFmtId="0" fontId="26" fillId="0" borderId="0" xfId="0" applyFont="1" applyBorder="1" applyProtection="1"/>
    <xf numFmtId="0" fontId="26" fillId="0" borderId="0" xfId="0" applyFont="1" applyAlignment="1" applyProtection="1">
      <alignment horizontal="center"/>
    </xf>
    <xf numFmtId="0" fontId="26" fillId="0" borderId="0" xfId="0" applyFont="1" applyBorder="1" applyAlignment="1" applyProtection="1"/>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26" fillId="0" borderId="7" xfId="0" applyFont="1" applyBorder="1" applyProtection="1"/>
    <xf numFmtId="0" fontId="28" fillId="0" borderId="0" xfId="0" applyFont="1" applyBorder="1" applyAlignment="1" applyProtection="1">
      <alignment vertical="top" wrapText="1"/>
    </xf>
    <xf numFmtId="0" fontId="26" fillId="0" borderId="0" xfId="0" applyFont="1" applyProtection="1"/>
    <xf numFmtId="0" fontId="26" fillId="0" borderId="0" xfId="0" applyFont="1" applyBorder="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protection locked="0"/>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left"/>
    </xf>
    <xf numFmtId="0" fontId="26" fillId="0" borderId="0" xfId="0" applyFont="1" applyBorder="1" applyAlignment="1" applyProtection="1"/>
    <xf numFmtId="0" fontId="26" fillId="0" borderId="0" xfId="0" applyFont="1" applyBorder="1" applyAlignment="1" applyProtection="1">
      <alignment wrapText="1"/>
    </xf>
    <xf numFmtId="0" fontId="26" fillId="0" borderId="0" xfId="0" applyFont="1" applyBorder="1" applyAlignment="1" applyProtection="1">
      <alignment horizontal="center"/>
    </xf>
    <xf numFmtId="0" fontId="26" fillId="0" borderId="0" xfId="0" applyFont="1" applyBorder="1" applyAlignment="1" applyProtection="1">
      <alignment horizontal="left"/>
    </xf>
    <xf numFmtId="0" fontId="0" fillId="10" borderId="0" xfId="0" applyFill="1"/>
    <xf numFmtId="0" fontId="26" fillId="4" borderId="8" xfId="0"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xf numFmtId="0" fontId="26" fillId="0" borderId="0" xfId="0" applyFont="1" applyAlignment="1" applyProtection="1">
      <alignment horizontal="center"/>
    </xf>
    <xf numFmtId="0" fontId="26" fillId="0" borderId="0" xfId="0" applyFont="1" applyAlignment="1" applyProtection="1">
      <alignment horizontal="left"/>
    </xf>
    <xf numFmtId="0" fontId="26" fillId="0" borderId="0" xfId="0" applyFont="1" applyBorder="1" applyAlignment="1" applyProtection="1"/>
    <xf numFmtId="0" fontId="26" fillId="0" borderId="0" xfId="0" applyFont="1" applyBorder="1" applyAlignment="1" applyProtection="1">
      <alignment horizontal="justify" wrapText="1"/>
    </xf>
    <xf numFmtId="0" fontId="26" fillId="0" borderId="0" xfId="0" applyFont="1" applyBorder="1" applyAlignment="1" applyProtection="1">
      <alignment horizontal="left"/>
    </xf>
    <xf numFmtId="0" fontId="37" fillId="0" borderId="0" xfId="0" applyFont="1" applyAlignment="1" applyProtection="1">
      <alignment wrapText="1"/>
    </xf>
    <xf numFmtId="0" fontId="26" fillId="0" borderId="0" xfId="0" applyFont="1" applyBorder="1" applyAlignment="1" applyProtection="1">
      <alignment horizontal="right"/>
    </xf>
    <xf numFmtId="0" fontId="0" fillId="0" borderId="0" xfId="0" applyAlignment="1">
      <alignment horizontal="center"/>
    </xf>
    <xf numFmtId="0" fontId="26" fillId="0" borderId="0" xfId="0" applyFont="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3" borderId="10" xfId="0" applyFont="1" applyFill="1" applyBorder="1" applyAlignment="1" applyProtection="1">
      <alignment horizontal="center" wrapText="1"/>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right"/>
    </xf>
    <xf numFmtId="0" fontId="29" fillId="0" borderId="0" xfId="0" applyFont="1" applyAlignment="1" applyProtection="1"/>
    <xf numFmtId="0" fontId="26" fillId="0" borderId="0" xfId="0" applyFont="1" applyBorder="1" applyAlignment="1" applyProtection="1">
      <alignment horizontal="right"/>
    </xf>
    <xf numFmtId="0" fontId="26" fillId="0" borderId="0" xfId="0" applyFont="1" applyAlignment="1" applyProtection="1">
      <alignment horizontal="right" vertical="center"/>
    </xf>
    <xf numFmtId="0" fontId="26" fillId="4" borderId="12" xfId="0" applyFont="1" applyFill="1" applyBorder="1" applyAlignment="1" applyProtection="1">
      <alignment horizontal="center" vertical="center"/>
      <protection locked="0"/>
    </xf>
    <xf numFmtId="7" fontId="26" fillId="4" borderId="10" xfId="0" applyNumberFormat="1" applyFont="1" applyFill="1" applyBorder="1" applyAlignment="1" applyProtection="1">
      <alignment vertical="center"/>
      <protection locked="0"/>
    </xf>
    <xf numFmtId="7" fontId="26" fillId="4" borderId="11" xfId="0" applyNumberFormat="1" applyFont="1" applyFill="1" applyBorder="1" applyAlignment="1" applyProtection="1">
      <alignment vertical="center"/>
      <protection locked="0"/>
    </xf>
    <xf numFmtId="0" fontId="29" fillId="0" borderId="0" xfId="0" applyFont="1" applyAlignment="1" applyProtection="1">
      <alignment vertical="center"/>
    </xf>
    <xf numFmtId="7" fontId="26" fillId="4" borderId="11" xfId="0" applyNumberFormat="1" applyFont="1" applyFill="1" applyBorder="1" applyAlignment="1" applyProtection="1">
      <alignment horizontal="center" vertical="center"/>
      <protection locked="0"/>
    </xf>
    <xf numFmtId="0" fontId="26" fillId="0" borderId="0" xfId="0" applyFont="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0" borderId="0" xfId="0" applyFont="1" applyFill="1" applyBorder="1" applyAlignment="1" applyProtection="1"/>
    <xf numFmtId="14" fontId="26" fillId="3" borderId="11" xfId="0" applyNumberFormat="1" applyFont="1" applyFill="1" applyBorder="1" applyAlignment="1" applyProtection="1">
      <alignment horizontal="center"/>
    </xf>
    <xf numFmtId="7" fontId="26" fillId="11" borderId="0" xfId="0" applyNumberFormat="1" applyFont="1" applyFill="1" applyBorder="1" applyAlignment="1" applyProtection="1"/>
    <xf numFmtId="10" fontId="26" fillId="0" borderId="0" xfId="2" applyNumberFormat="1" applyFont="1" applyProtection="1"/>
    <xf numFmtId="10" fontId="26" fillId="0" borderId="0" xfId="0" applyNumberFormat="1" applyFont="1" applyProtection="1"/>
    <xf numFmtId="0" fontId="29" fillId="0" borderId="0" xfId="0" applyFont="1" applyFill="1" applyProtection="1"/>
    <xf numFmtId="0" fontId="26" fillId="0" borderId="0" xfId="0" applyFont="1" applyFill="1" applyAlignment="1" applyProtection="1">
      <alignment vertical="top"/>
    </xf>
    <xf numFmtId="10" fontId="26" fillId="0" borderId="0" xfId="2" applyNumberFormat="1" applyFont="1" applyFill="1" applyProtection="1"/>
    <xf numFmtId="10" fontId="26" fillId="0" borderId="0" xfId="0" applyNumberFormat="1" applyFont="1" applyFill="1" applyProtection="1"/>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alignment horizontal="center"/>
    </xf>
    <xf numFmtId="0" fontId="26" fillId="0" borderId="0" xfId="0" applyFont="1" applyAlignment="1" applyProtection="1">
      <alignment horizontal="right"/>
    </xf>
    <xf numFmtId="0" fontId="29" fillId="0" borderId="0" xfId="0" applyFont="1" applyAlignment="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Protection="1"/>
    <xf numFmtId="0" fontId="26" fillId="0" borderId="0" xfId="0" applyFont="1" applyFill="1" applyBorder="1" applyAlignment="1" applyProtection="1">
      <alignment horizontal="center"/>
    </xf>
    <xf numFmtId="0" fontId="26" fillId="3" borderId="3" xfId="0" applyFont="1" applyFill="1" applyBorder="1" applyAlignment="1" applyProtection="1">
      <alignment horizontal="center"/>
    </xf>
    <xf numFmtId="0" fontId="26" fillId="3" borderId="1" xfId="0" applyFont="1" applyFill="1" applyBorder="1" applyAlignment="1" applyProtection="1">
      <alignment horizontal="center"/>
    </xf>
    <xf numFmtId="0" fontId="26" fillId="3" borderId="5" xfId="0" applyFont="1" applyFill="1" applyBorder="1" applyAlignment="1" applyProtection="1">
      <alignment horizontal="center"/>
    </xf>
    <xf numFmtId="0" fontId="26" fillId="3" borderId="8" xfId="0" applyFont="1" applyFill="1" applyBorder="1" applyAlignment="1" applyProtection="1">
      <alignment horizontal="center"/>
    </xf>
    <xf numFmtId="0" fontId="26" fillId="0" borderId="0" xfId="0" applyFont="1" applyAlignment="1" applyProtection="1">
      <alignment horizontal="justify" wrapText="1"/>
    </xf>
    <xf numFmtId="0" fontId="26" fillId="0" borderId="0" xfId="0" applyFont="1" applyAlignment="1" applyProtection="1">
      <alignment horizontal="left" wrapText="1"/>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justify"/>
    </xf>
    <xf numFmtId="0" fontId="26" fillId="0" borderId="0" xfId="0" applyFont="1" applyBorder="1" applyAlignment="1" applyProtection="1"/>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3" borderId="10" xfId="0" applyNumberFormat="1" applyFont="1" applyFill="1" applyBorder="1" applyAlignment="1" applyProtection="1">
      <alignment horizontal="center"/>
    </xf>
    <xf numFmtId="9" fontId="26" fillId="3" borderId="5" xfId="0" applyNumberFormat="1" applyFont="1" applyFill="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Fill="1" applyAlignment="1" applyProtection="1">
      <alignment horizontal="left"/>
    </xf>
    <xf numFmtId="0" fontId="26" fillId="0" borderId="0" xfId="0" applyFont="1" applyAlignment="1" applyProtection="1">
      <alignment wrapText="1"/>
    </xf>
    <xf numFmtId="0" fontId="37" fillId="0" borderId="0" xfId="0" applyFont="1" applyAlignment="1" applyProtection="1">
      <alignment wrapText="1"/>
    </xf>
    <xf numFmtId="0" fontId="29" fillId="0" borderId="0" xfId="0" applyFont="1" applyAlignment="1" applyProtection="1">
      <alignment horizontal="justify" wrapText="1"/>
    </xf>
    <xf numFmtId="0" fontId="29" fillId="0" borderId="0" xfId="0" applyFont="1" applyAlignment="1" applyProtection="1"/>
    <xf numFmtId="0" fontId="27" fillId="0" borderId="0" xfId="0" applyFont="1" applyBorder="1" applyAlignment="1" applyProtection="1">
      <alignment horizontal="center"/>
    </xf>
    <xf numFmtId="0" fontId="26" fillId="4" borderId="10" xfId="0" applyFont="1" applyFill="1" applyBorder="1" applyAlignment="1" applyProtection="1">
      <alignment vertical="center" wrapText="1"/>
      <protection locked="0"/>
    </xf>
    <xf numFmtId="176" fontId="26" fillId="3" borderId="16" xfId="0" applyNumberFormat="1" applyFont="1" applyFill="1" applyBorder="1" applyAlignment="1" applyProtection="1"/>
    <xf numFmtId="176" fontId="26" fillId="6" borderId="16" xfId="0" applyNumberFormat="1" applyFont="1" applyFill="1" applyBorder="1" applyAlignment="1" applyProtection="1"/>
    <xf numFmtId="0" fontId="26" fillId="4" borderId="10" xfId="0" applyFont="1" applyFill="1" applyBorder="1" applyAlignment="1" applyProtection="1">
      <alignment horizontal="center"/>
      <protection locked="0"/>
    </xf>
    <xf numFmtId="0" fontId="26" fillId="3" borderId="1" xfId="0" applyFont="1" applyFill="1" applyBorder="1" applyAlignment="1" applyProtection="1">
      <alignment horizontal="center"/>
    </xf>
    <xf numFmtId="0" fontId="26" fillId="0" borderId="0" xfId="0" applyFont="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Alignment="1" applyProtection="1">
      <alignment horizontal="left"/>
    </xf>
    <xf numFmtId="0" fontId="26" fillId="0" borderId="0" xfId="0" applyFont="1" applyBorder="1" applyAlignment="1" applyProtection="1"/>
    <xf numFmtId="0" fontId="26" fillId="3" borderId="10" xfId="0" applyFont="1" applyFill="1" applyBorder="1" applyAlignment="1" applyProtection="1">
      <alignment horizontal="center"/>
    </xf>
    <xf numFmtId="170" fontId="26" fillId="4" borderId="11" xfId="0" applyNumberFormat="1" applyFont="1" applyFill="1" applyBorder="1" applyAlignment="1" applyProtection="1">
      <protection locked="0"/>
    </xf>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3" borderId="16" xfId="0" applyNumberFormat="1" applyFont="1" applyFill="1" applyBorder="1" applyAlignment="1" applyProtection="1">
      <alignment horizontal="center"/>
    </xf>
    <xf numFmtId="7" fontId="26" fillId="3" borderId="18" xfId="0" applyNumberFormat="1" applyFont="1" applyFill="1" applyBorder="1" applyAlignment="1" applyProtection="1">
      <alignment horizontal="center"/>
    </xf>
    <xf numFmtId="0" fontId="29" fillId="10" borderId="0" xfId="0" applyFont="1" applyFill="1" applyBorder="1" applyAlignment="1" applyProtection="1"/>
    <xf numFmtId="0" fontId="26" fillId="0" borderId="8" xfId="0" applyNumberFormat="1" applyFont="1" applyFill="1" applyBorder="1" applyAlignment="1" applyProtection="1">
      <alignment horizontal="left"/>
    </xf>
    <xf numFmtId="0" fontId="26" fillId="0" borderId="8" xfId="1" applyNumberFormat="1" applyFont="1" applyFill="1" applyBorder="1" applyAlignment="1" applyProtection="1">
      <alignment horizontal="center" wrapText="1"/>
    </xf>
    <xf numFmtId="10" fontId="28" fillId="3" borderId="11" xfId="2" applyNumberFormat="1" applyFont="1" applyFill="1" applyBorder="1" applyAlignment="1" applyProtection="1">
      <alignment horizontal="center"/>
    </xf>
    <xf numFmtId="0" fontId="26" fillId="0" borderId="0" xfId="0" applyFont="1" applyFill="1" applyAlignment="1" applyProtection="1">
      <alignment horizontal="left" indent="2"/>
    </xf>
    <xf numFmtId="164" fontId="26" fillId="0" borderId="0" xfId="0" applyNumberFormat="1" applyFont="1" applyFill="1" applyProtection="1"/>
    <xf numFmtId="164" fontId="26" fillId="0" borderId="0" xfId="0" applyNumberFormat="1" applyFont="1" applyFill="1" applyAlignment="1" applyProtection="1">
      <alignment horizontal="right"/>
    </xf>
    <xf numFmtId="0" fontId="26" fillId="0" borderId="0" xfId="0" applyFont="1" applyFill="1" applyProtection="1"/>
    <xf numFmtId="0" fontId="29" fillId="4" borderId="8" xfId="0" applyFont="1" applyFill="1" applyBorder="1" applyProtection="1">
      <protection locked="0"/>
    </xf>
    <xf numFmtId="0" fontId="26" fillId="0" borderId="0" xfId="0" applyFont="1" applyAlignment="1" applyProtection="1">
      <alignment horizontal="center"/>
    </xf>
    <xf numFmtId="0" fontId="26" fillId="0" borderId="0" xfId="0" applyFont="1" applyBorder="1" applyProtection="1"/>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justify" wrapText="1"/>
    </xf>
    <xf numFmtId="0" fontId="26" fillId="0" borderId="0" xfId="0" applyFont="1" applyAlignment="1" applyProtection="1">
      <alignment horizontal="left" wrapText="1"/>
    </xf>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justify"/>
    </xf>
    <xf numFmtId="7" fontId="26" fillId="4" borderId="13" xfId="0" applyNumberFormat="1" applyFont="1" applyFill="1" applyBorder="1" applyAlignment="1" applyProtection="1">
      <alignment horizontal="right"/>
      <protection locked="0"/>
    </xf>
    <xf numFmtId="0" fontId="26" fillId="0" borderId="0" xfId="0" applyFont="1" applyAlignment="1" applyProtection="1">
      <alignment horizontal="justify" vertical="top" wrapText="1"/>
    </xf>
    <xf numFmtId="0" fontId="26" fillId="0" borderId="0" xfId="0" applyFont="1" applyBorder="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6" fillId="0" borderId="0" xfId="0" applyFont="1" applyBorder="1" applyAlignment="1" applyProtection="1">
      <alignment horizontal="left"/>
    </xf>
    <xf numFmtId="0" fontId="29" fillId="0" borderId="0" xfId="0" applyFont="1" applyAlignment="1" applyProtection="1">
      <alignment horizontal="left"/>
    </xf>
    <xf numFmtId="0" fontId="26" fillId="0" borderId="0" xfId="0" applyFont="1" applyAlignment="1" applyProtection="1">
      <alignment horizontal="justify" vertical="top"/>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Protection="1"/>
    <xf numFmtId="0" fontId="26" fillId="0" borderId="0" xfId="0" applyFont="1" applyAlignment="1" applyProtection="1">
      <alignment wrapText="1"/>
    </xf>
    <xf numFmtId="0" fontId="37" fillId="0" borderId="0" xfId="0" applyFont="1" applyAlignment="1" applyProtection="1">
      <alignment wrapText="1"/>
    </xf>
    <xf numFmtId="0" fontId="29" fillId="0" borderId="0" xfId="0" applyFont="1" applyAlignment="1" applyProtection="1">
      <alignment horizontal="justify" wrapText="1"/>
    </xf>
    <xf numFmtId="0" fontId="29" fillId="0" borderId="0" xfId="0" applyFont="1" applyAlignment="1" applyProtection="1"/>
    <xf numFmtId="0" fontId="26" fillId="0" borderId="0" xfId="0" applyFont="1" applyBorder="1" applyAlignment="1" applyProtection="1">
      <alignment horizontal="right"/>
    </xf>
    <xf numFmtId="0" fontId="24" fillId="0" borderId="0" xfId="0" applyFont="1" applyAlignment="1">
      <alignment horizontal="center"/>
    </xf>
    <xf numFmtId="0" fontId="26" fillId="0" borderId="0" xfId="0" applyFont="1" applyFill="1" applyAlignment="1">
      <alignment horizontal="center"/>
    </xf>
    <xf numFmtId="0" fontId="29" fillId="0" borderId="0" xfId="0" applyFont="1" applyFill="1" applyAlignment="1">
      <alignment horizontal="center"/>
    </xf>
    <xf numFmtId="0" fontId="26" fillId="0" borderId="0" xfId="0" applyFont="1" applyAlignment="1">
      <alignment vertical="center" wrapText="1"/>
    </xf>
    <xf numFmtId="7" fontId="26" fillId="0" borderId="115" xfId="0" applyNumberFormat="1" applyFont="1" applyBorder="1"/>
    <xf numFmtId="7" fontId="26" fillId="0" borderId="116" xfId="0" applyNumberFormat="1" applyFont="1" applyBorder="1"/>
    <xf numFmtId="7" fontId="26" fillId="0" borderId="117" xfId="0" applyNumberFormat="1" applyFont="1" applyBorder="1"/>
    <xf numFmtId="0" fontId="26" fillId="0" borderId="37" xfId="0" applyFont="1" applyFill="1" applyBorder="1" applyAlignment="1" applyProtection="1">
      <alignment horizontal="center"/>
    </xf>
    <xf numFmtId="44" fontId="26" fillId="3" borderId="11" xfId="0" applyNumberFormat="1" applyFont="1" applyFill="1" applyBorder="1" applyAlignment="1" applyProtection="1">
      <alignment horizontal="center" wrapText="1"/>
    </xf>
    <xf numFmtId="0" fontId="26" fillId="0" borderId="107" xfId="0" applyFont="1" applyBorder="1" applyAlignment="1" applyProtection="1">
      <alignment horizontal="center"/>
    </xf>
    <xf numFmtId="0" fontId="26" fillId="0" borderId="108" xfId="0" applyFont="1" applyBorder="1" applyAlignment="1" applyProtection="1">
      <alignment horizontal="center"/>
    </xf>
    <xf numFmtId="0" fontId="26" fillId="0" borderId="0" xfId="0" applyFont="1" applyFill="1" applyBorder="1" applyAlignment="1" applyProtection="1">
      <alignment horizontal="center" wrapText="1"/>
    </xf>
    <xf numFmtId="0" fontId="26" fillId="3" borderId="1" xfId="0" applyFont="1" applyFill="1" applyBorder="1" applyAlignment="1" applyProtection="1">
      <alignment horizontal="center"/>
    </xf>
    <xf numFmtId="0" fontId="26" fillId="3" borderId="3" xfId="0" applyFont="1" applyFill="1" applyBorder="1" applyAlignment="1" applyProtection="1">
      <alignment horizontal="center"/>
    </xf>
    <xf numFmtId="0" fontId="26" fillId="0" borderId="0" xfId="0" applyFont="1" applyProtection="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Alignment="1" applyProtection="1">
      <alignment horizontal="left" indent="2"/>
    </xf>
    <xf numFmtId="0" fontId="26" fillId="0" borderId="0" xfId="0" applyFont="1" applyAlignment="1" applyProtection="1"/>
    <xf numFmtId="0" fontId="26" fillId="3" borderId="13" xfId="0" applyFont="1" applyFill="1" applyBorder="1" applyAlignment="1" applyProtection="1">
      <alignment horizontal="center" wrapText="1"/>
    </xf>
    <xf numFmtId="0" fontId="26" fillId="0" borderId="0" xfId="0" applyFont="1" applyAlignment="1" applyProtection="1">
      <alignment horizontal="left"/>
    </xf>
    <xf numFmtId="0" fontId="25" fillId="0" borderId="106" xfId="0" applyFont="1" applyBorder="1" applyAlignment="1" applyProtection="1">
      <alignment horizontal="center" vertical="center" wrapText="1"/>
    </xf>
    <xf numFmtId="0" fontId="26" fillId="0" borderId="107" xfId="0" applyFont="1" applyBorder="1" applyAlignment="1" applyProtection="1">
      <alignment horizontal="center" vertical="center" wrapText="1"/>
    </xf>
    <xf numFmtId="0" fontId="26" fillId="0" borderId="10" xfId="0" applyFont="1" applyFill="1" applyBorder="1" applyAlignment="1" applyProtection="1">
      <alignment horizontal="center"/>
    </xf>
    <xf numFmtId="170" fontId="26" fillId="4" borderId="11" xfId="0" applyNumberFormat="1" applyFont="1" applyFill="1" applyBorder="1" applyAlignment="1" applyProtection="1">
      <protection locked="0"/>
    </xf>
    <xf numFmtId="0" fontId="26" fillId="0" borderId="0" xfId="0" applyFont="1" applyFill="1" applyAlignment="1" applyProtection="1"/>
    <xf numFmtId="0" fontId="26" fillId="0" borderId="0" xfId="0" applyFont="1" applyFill="1" applyBorder="1" applyAlignment="1" applyProtection="1"/>
    <xf numFmtId="0" fontId="26" fillId="0" borderId="0" xfId="0" applyFont="1" applyFill="1" applyBorder="1" applyAlignment="1" applyProtection="1">
      <alignment horizontal="left"/>
    </xf>
    <xf numFmtId="0" fontId="26" fillId="0" borderId="4" xfId="0" applyFont="1" applyFill="1" applyBorder="1" applyAlignment="1" applyProtection="1"/>
    <xf numFmtId="9" fontId="26" fillId="3" borderId="5" xfId="0" applyNumberFormat="1" applyFont="1" applyFill="1" applyBorder="1" applyAlignment="1" applyProtection="1">
      <alignment horizontal="center"/>
    </xf>
    <xf numFmtId="0" fontId="26" fillId="3" borderId="11" xfId="0" applyFont="1" applyFill="1" applyBorder="1" applyAlignment="1" applyProtection="1">
      <alignment horizontal="center"/>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3" applyFont="1" applyAlignment="1" applyProtection="1"/>
    <xf numFmtId="0" fontId="53" fillId="0" borderId="0" xfId="3" applyFont="1" applyBorder="1" applyAlignment="1" applyProtection="1">
      <alignment horizontal="center" vertical="center"/>
    </xf>
    <xf numFmtId="0" fontId="26" fillId="3" borderId="13" xfId="0" applyFont="1" applyFill="1" applyBorder="1" applyAlignment="1" applyProtection="1">
      <alignment horizontal="center"/>
    </xf>
    <xf numFmtId="0" fontId="26" fillId="0" borderId="0" xfId="0" applyFont="1" applyBorder="1" applyAlignment="1" applyProtection="1">
      <alignment horizontal="right"/>
    </xf>
    <xf numFmtId="0" fontId="26" fillId="3" borderId="9" xfId="0" applyFont="1" applyFill="1" applyBorder="1" applyAlignment="1" applyProtection="1">
      <alignment horizontal="center" wrapText="1"/>
    </xf>
    <xf numFmtId="0" fontId="24" fillId="0" borderId="0" xfId="0" applyFont="1" applyAlignment="1">
      <alignment horizontal="center"/>
    </xf>
    <xf numFmtId="0" fontId="26" fillId="0" borderId="0" xfId="0" applyFont="1" applyFill="1" applyAlignment="1">
      <alignment horizontal="center"/>
    </xf>
    <xf numFmtId="0" fontId="29" fillId="0" borderId="0" xfId="0" applyFont="1" applyFill="1" applyAlignment="1">
      <alignment horizontal="center"/>
    </xf>
    <xf numFmtId="164" fontId="26" fillId="0" borderId="0" xfId="0" applyNumberFormat="1" applyFont="1" applyBorder="1" applyAlignment="1" applyProtection="1">
      <alignment horizontal="left"/>
    </xf>
    <xf numFmtId="39" fontId="26" fillId="3" borderId="16" xfId="81" applyNumberFormat="1" applyFont="1" applyFill="1" applyBorder="1" applyAlignment="1" applyProtection="1">
      <alignment horizontal="center"/>
    </xf>
    <xf numFmtId="0" fontId="34" fillId="0" borderId="0" xfId="0" applyFont="1" applyBorder="1" applyAlignment="1" applyProtection="1">
      <alignment horizontal="right" wrapText="1"/>
    </xf>
    <xf numFmtId="0" fontId="26" fillId="0" borderId="0" xfId="0" applyFont="1" applyFill="1" applyAlignment="1">
      <alignment wrapText="1"/>
    </xf>
    <xf numFmtId="170" fontId="26" fillId="0" borderId="0" xfId="0" applyNumberFormat="1" applyFont="1" applyBorder="1" applyAlignment="1">
      <alignment horizontal="center"/>
    </xf>
    <xf numFmtId="7" fontId="26" fillId="0" borderId="41" xfId="0" applyNumberFormat="1" applyFont="1" applyBorder="1" applyAlignment="1">
      <alignment horizontal="center"/>
    </xf>
    <xf numFmtId="10" fontId="26" fillId="0" borderId="41" xfId="2" applyNumberFormat="1" applyFont="1" applyBorder="1" applyAlignment="1">
      <alignment horizontal="center"/>
    </xf>
    <xf numFmtId="10" fontId="26" fillId="0" borderId="40" xfId="2" applyNumberFormat="1" applyFont="1" applyBorder="1" applyAlignment="1">
      <alignment horizontal="center"/>
    </xf>
    <xf numFmtId="170" fontId="26" fillId="0" borderId="41" xfId="2" applyNumberFormat="1" applyFont="1" applyBorder="1" applyAlignment="1">
      <alignment horizontal="center"/>
    </xf>
    <xf numFmtId="0" fontId="26" fillId="0" borderId="0" xfId="0" applyFont="1" applyAlignment="1" applyProtection="1">
      <alignment horizontal="left" vertical="top" wrapText="1"/>
    </xf>
    <xf numFmtId="0" fontId="29" fillId="0" borderId="0" xfId="0" applyFont="1" applyAlignment="1" applyProtection="1">
      <alignment horizontal="left" vertical="top"/>
    </xf>
    <xf numFmtId="0" fontId="29" fillId="0" borderId="0" xfId="0" applyFont="1" applyAlignment="1" applyProtection="1">
      <alignment horizontal="justify" vertical="top" wrapText="1"/>
    </xf>
    <xf numFmtId="0" fontId="26" fillId="11" borderId="0" xfId="0" applyFont="1" applyFill="1" applyAlignment="1">
      <alignment horizontal="center"/>
    </xf>
    <xf numFmtId="0" fontId="26" fillId="0" borderId="0" xfId="0" applyFont="1" applyFill="1" applyAlignment="1">
      <alignment horizontal="left" wrapText="1" indent="2"/>
    </xf>
    <xf numFmtId="10" fontId="24" fillId="0" borderId="0" xfId="2" applyNumberFormat="1" applyFont="1" applyAlignment="1">
      <alignment horizontal="right" vertical="center"/>
    </xf>
    <xf numFmtId="0" fontId="24" fillId="0" borderId="0" xfId="77" applyFont="1" applyAlignment="1">
      <alignment horizontal="left" indent="2"/>
    </xf>
    <xf numFmtId="0" fontId="26" fillId="0" borderId="31" xfId="0" applyFont="1" applyFill="1" applyBorder="1" applyProtection="1"/>
    <xf numFmtId="0" fontId="26" fillId="0" borderId="31" xfId="0" applyFont="1" applyBorder="1" applyAlignment="1" applyProtection="1">
      <alignment horizontal="center"/>
    </xf>
    <xf numFmtId="44" fontId="26" fillId="4" borderId="8" xfId="0" applyNumberFormat="1" applyFont="1" applyFill="1" applyBorder="1" applyAlignment="1" applyProtection="1">
      <protection locked="0"/>
    </xf>
    <xf numFmtId="44" fontId="26" fillId="4" borderId="8" xfId="0" applyNumberFormat="1" applyFont="1" applyFill="1" applyBorder="1" applyAlignment="1" applyProtection="1">
      <alignment horizontal="center"/>
      <protection locked="0"/>
    </xf>
    <xf numFmtId="0" fontId="26" fillId="3" borderId="11" xfId="0" applyFont="1" applyFill="1" applyBorder="1" applyAlignment="1" applyProtection="1">
      <alignment horizontal="center"/>
    </xf>
    <xf numFmtId="0" fontId="26" fillId="46" borderId="79" xfId="0" applyFont="1" applyFill="1" applyBorder="1" applyAlignment="1" applyProtection="1">
      <alignment horizontal="center"/>
      <protection locked="0"/>
    </xf>
    <xf numFmtId="14" fontId="26" fillId="46" borderId="69" xfId="0" applyNumberFormat="1" applyFont="1" applyFill="1" applyBorder="1" applyAlignment="1" applyProtection="1">
      <alignment horizontal="center"/>
      <protection locked="0"/>
    </xf>
    <xf numFmtId="0" fontId="26" fillId="0" borderId="127" xfId="0" applyFont="1" applyBorder="1" applyProtection="1"/>
    <xf numFmtId="9" fontId="26" fillId="0" borderId="128" xfId="0" applyNumberFormat="1" applyFont="1" applyBorder="1" applyAlignment="1" applyProtection="1">
      <alignment horizontal="center"/>
    </xf>
    <xf numFmtId="7" fontId="26" fillId="0" borderId="129" xfId="0" applyNumberFormat="1" applyFont="1" applyBorder="1" applyAlignment="1" applyProtection="1">
      <alignment horizontal="center"/>
    </xf>
    <xf numFmtId="164" fontId="29" fillId="0" borderId="0" xfId="0" applyNumberFormat="1" applyFont="1" applyFill="1" applyAlignment="1">
      <alignment horizontal="center"/>
    </xf>
    <xf numFmtId="164" fontId="29" fillId="46" borderId="41" xfId="0" applyNumberFormat="1" applyFont="1" applyFill="1" applyBorder="1" applyAlignment="1" applyProtection="1">
      <alignment horizontal="center"/>
      <protection locked="0"/>
    </xf>
    <xf numFmtId="164" fontId="29" fillId="0" borderId="0" xfId="0" applyNumberFormat="1" applyFont="1" applyFill="1" applyAlignment="1">
      <alignment horizontal="center" vertical="top"/>
    </xf>
    <xf numFmtId="10" fontId="24" fillId="0" borderId="0" xfId="2" applyNumberFormat="1" applyFont="1" applyBorder="1" applyAlignment="1">
      <alignment horizontal="right"/>
    </xf>
    <xf numFmtId="0" fontId="35" fillId="0" borderId="0" xfId="78" applyFont="1" applyAlignment="1">
      <alignment vertical="center"/>
    </xf>
    <xf numFmtId="14" fontId="24" fillId="46" borderId="68" xfId="77" applyNumberFormat="1" applyFont="1" applyFill="1" applyBorder="1" applyAlignment="1" applyProtection="1">
      <alignment horizontal="center"/>
      <protection locked="0"/>
    </xf>
    <xf numFmtId="14" fontId="24" fillId="46" borderId="69" xfId="77" applyNumberFormat="1" applyFont="1" applyFill="1" applyBorder="1" applyAlignment="1" applyProtection="1">
      <alignment horizontal="center"/>
      <protection locked="0"/>
    </xf>
    <xf numFmtId="7" fontId="24" fillId="46" borderId="69" xfId="77" applyNumberFormat="1" applyFont="1" applyFill="1" applyBorder="1" applyAlignment="1" applyProtection="1">
      <alignment horizontal="center"/>
      <protection locked="0"/>
    </xf>
    <xf numFmtId="0" fontId="24" fillId="0" borderId="0" xfId="78" applyFont="1" applyAlignment="1">
      <alignment horizontal="center"/>
    </xf>
    <xf numFmtId="176" fontId="24" fillId="0" borderId="0" xfId="78" applyNumberFormat="1" applyFont="1"/>
    <xf numFmtId="176" fontId="35" fillId="0" borderId="0" xfId="78" applyNumberFormat="1" applyFont="1"/>
    <xf numFmtId="176" fontId="24" fillId="0" borderId="0" xfId="78" applyNumberFormat="1" applyFont="1" applyAlignment="1">
      <alignment horizontal="right"/>
    </xf>
    <xf numFmtId="176" fontId="24" fillId="0" borderId="31" xfId="78" applyNumberFormat="1" applyFont="1" applyBorder="1"/>
    <xf numFmtId="176" fontId="24" fillId="46" borderId="41" xfId="78" applyNumberFormat="1" applyFont="1" applyFill="1" applyBorder="1" applyProtection="1">
      <protection locked="0"/>
    </xf>
    <xf numFmtId="0" fontId="26" fillId="0" borderId="105" xfId="0" applyFont="1" applyFill="1" applyBorder="1" applyAlignment="1" applyProtection="1">
      <alignment horizontal="center"/>
    </xf>
    <xf numFmtId="7" fontId="26" fillId="3" borderId="92" xfId="0" applyNumberFormat="1" applyFont="1" applyFill="1" applyBorder="1" applyAlignment="1" applyProtection="1">
      <alignment horizontal="center"/>
    </xf>
    <xf numFmtId="7" fontId="26" fillId="3" borderId="94" xfId="0" applyNumberFormat="1" applyFont="1" applyFill="1" applyBorder="1" applyAlignment="1" applyProtection="1">
      <alignment horizontal="center"/>
    </xf>
    <xf numFmtId="170" fontId="26" fillId="3" borderId="93" xfId="0" applyNumberFormat="1" applyFont="1" applyFill="1" applyBorder="1" applyAlignment="1" applyProtection="1">
      <alignment horizontal="center" vertical="center"/>
    </xf>
    <xf numFmtId="170" fontId="26" fillId="3" borderId="94" xfId="0" applyNumberFormat="1" applyFont="1" applyFill="1" applyBorder="1" applyAlignment="1" applyProtection="1">
      <alignment horizontal="center" vertical="center"/>
    </xf>
    <xf numFmtId="7" fontId="26" fillId="3" borderId="82" xfId="0" applyNumberFormat="1" applyFont="1" applyFill="1" applyBorder="1" applyAlignment="1" applyProtection="1">
      <alignment horizontal="center"/>
    </xf>
    <xf numFmtId="7" fontId="26" fillId="3" borderId="84" xfId="0" applyNumberFormat="1" applyFont="1" applyFill="1" applyBorder="1" applyAlignment="1" applyProtection="1">
      <alignment horizontal="center"/>
    </xf>
    <xf numFmtId="7" fontId="26" fillId="3" borderId="86" xfId="0" applyNumberFormat="1" applyFont="1" applyFill="1" applyBorder="1" applyAlignment="1" applyProtection="1">
      <alignment horizontal="center"/>
    </xf>
    <xf numFmtId="7" fontId="26" fillId="3" borderId="88" xfId="0" applyNumberFormat="1" applyFont="1" applyFill="1" applyBorder="1" applyAlignment="1" applyProtection="1">
      <alignment horizontal="center"/>
    </xf>
    <xf numFmtId="7" fontId="26" fillId="3" borderId="129" xfId="0" applyNumberFormat="1" applyFont="1" applyFill="1" applyBorder="1" applyAlignment="1" applyProtection="1">
      <alignment horizontal="center"/>
    </xf>
    <xf numFmtId="0" fontId="26" fillId="0" borderId="5" xfId="0" applyFont="1" applyFill="1" applyBorder="1" applyAlignment="1" applyProtection="1">
      <alignment horizontal="center"/>
    </xf>
    <xf numFmtId="0" fontId="26" fillId="0" borderId="4" xfId="0" applyFont="1" applyFill="1" applyBorder="1" applyAlignment="1" applyProtection="1">
      <alignment horizontal="right"/>
    </xf>
    <xf numFmtId="5" fontId="26" fillId="0" borderId="4" xfId="0" applyNumberFormat="1" applyFont="1" applyFill="1" applyBorder="1" applyAlignment="1" applyProtection="1">
      <alignment horizontal="left"/>
    </xf>
    <xf numFmtId="0" fontId="26" fillId="0" borderId="4" xfId="0" applyFont="1" applyFill="1" applyBorder="1" applyAlignment="1" applyProtection="1">
      <alignment horizontal="left"/>
    </xf>
    <xf numFmtId="5" fontId="26" fillId="0" borderId="4" xfId="0" applyNumberFormat="1" applyFont="1" applyFill="1" applyBorder="1" applyAlignment="1" applyProtection="1">
      <alignment horizontal="right"/>
    </xf>
    <xf numFmtId="7" fontId="26" fillId="0" borderId="0" xfId="0" applyNumberFormat="1" applyFont="1" applyFill="1" applyBorder="1" applyAlignment="1" applyProtection="1"/>
    <xf numFmtId="0" fontId="26" fillId="0" borderId="9" xfId="0" applyFont="1" applyFill="1" applyBorder="1" applyAlignment="1" applyProtection="1">
      <alignment horizontal="left"/>
    </xf>
    <xf numFmtId="179" fontId="26" fillId="3" borderId="11" xfId="2" applyNumberFormat="1" applyFont="1" applyFill="1" applyBorder="1" applyAlignment="1" applyProtection="1">
      <alignment horizontal="center"/>
    </xf>
    <xf numFmtId="0" fontId="26" fillId="6" borderId="11" xfId="0" applyNumberFormat="1" applyFont="1" applyFill="1" applyBorder="1" applyAlignment="1" applyProtection="1">
      <alignment horizontal="center" vertical="center"/>
    </xf>
    <xf numFmtId="0" fontId="26" fillId="0" borderId="0" xfId="0" applyFont="1" applyFill="1" applyBorder="1" applyAlignment="1" applyProtection="1">
      <alignment vertical="center"/>
    </xf>
    <xf numFmtId="0" fontId="26" fillId="10" borderId="0" xfId="0" applyNumberFormat="1" applyFont="1" applyFill="1" applyBorder="1" applyAlignment="1" applyProtection="1">
      <alignment vertical="center"/>
    </xf>
    <xf numFmtId="0" fontId="26" fillId="0" borderId="0" xfId="0" applyNumberFormat="1" applyFont="1" applyFill="1" applyBorder="1" applyAlignment="1" applyProtection="1">
      <alignment vertical="center"/>
    </xf>
    <xf numFmtId="0" fontId="26" fillId="4" borderId="11" xfId="0" applyNumberFormat="1" applyFont="1" applyFill="1" applyBorder="1" applyAlignment="1" applyProtection="1">
      <alignment horizontal="center" vertical="center" wrapText="1"/>
      <protection locked="0"/>
    </xf>
    <xf numFmtId="0" fontId="53" fillId="0" borderId="0" xfId="3" applyFont="1" applyBorder="1" applyAlignment="1" applyProtection="1">
      <alignment vertical="center"/>
    </xf>
    <xf numFmtId="0" fontId="26" fillId="0" borderId="0" xfId="3" applyFont="1" applyBorder="1" applyAlignment="1" applyProtection="1">
      <alignment horizontal="left" indent="1"/>
    </xf>
    <xf numFmtId="0" fontId="25" fillId="0" borderId="0" xfId="0" applyFont="1" applyAlignment="1" applyProtection="1">
      <alignment horizontal="center"/>
    </xf>
    <xf numFmtId="2" fontId="26" fillId="3" borderId="79" xfId="0" applyNumberFormat="1" applyFont="1" applyFill="1" applyBorder="1" applyAlignment="1" applyProtection="1">
      <alignment horizontal="center"/>
    </xf>
    <xf numFmtId="2" fontId="26" fillId="3" borderId="70" xfId="0" applyNumberFormat="1" applyFont="1" applyFill="1" applyBorder="1" applyAlignment="1" applyProtection="1">
      <alignment horizontal="center"/>
    </xf>
    <xf numFmtId="2" fontId="26" fillId="3" borderId="69" xfId="0" applyNumberFormat="1" applyFont="1" applyFill="1" applyBorder="1" applyAlignment="1" applyProtection="1">
      <alignment horizontal="center"/>
    </xf>
    <xf numFmtId="2" fontId="26" fillId="3" borderId="32" xfId="0" applyNumberFormat="1" applyFont="1" applyFill="1" applyBorder="1" applyAlignment="1" applyProtection="1">
      <alignment horizontal="center"/>
    </xf>
    <xf numFmtId="0" fontId="26" fillId="3" borderId="136" xfId="0" applyFont="1" applyFill="1" applyBorder="1" applyAlignment="1" applyProtection="1">
      <alignment horizontal="center"/>
    </xf>
    <xf numFmtId="0" fontId="26" fillId="3" borderId="137" xfId="0" applyFont="1" applyFill="1" applyBorder="1" applyAlignment="1" applyProtection="1">
      <alignment horizontal="center"/>
    </xf>
    <xf numFmtId="0" fontId="26" fillId="3" borderId="138" xfId="0" applyFont="1" applyFill="1" applyBorder="1" applyAlignment="1" applyProtection="1">
      <alignment horizontal="center"/>
    </xf>
    <xf numFmtId="0" fontId="26" fillId="3" borderId="139" xfId="0" applyFont="1" applyFill="1" applyBorder="1" applyAlignment="1" applyProtection="1">
      <alignment horizontal="center"/>
    </xf>
    <xf numFmtId="0" fontId="26" fillId="3" borderId="140" xfId="0" applyFont="1" applyFill="1" applyBorder="1" applyAlignment="1" applyProtection="1">
      <alignment horizontal="center"/>
    </xf>
    <xf numFmtId="0" fontId="26" fillId="3" borderId="103" xfId="0" applyFont="1" applyFill="1" applyBorder="1" applyAlignment="1" applyProtection="1">
      <alignment horizontal="center"/>
    </xf>
    <xf numFmtId="0" fontId="26" fillId="3" borderId="141" xfId="0" applyFont="1" applyFill="1" applyBorder="1" applyAlignment="1" applyProtection="1">
      <alignment horizontal="center"/>
    </xf>
    <xf numFmtId="0" fontId="26" fillId="3" borderId="142" xfId="0" applyFont="1" applyFill="1" applyBorder="1" applyAlignment="1" applyProtection="1">
      <alignment horizontal="center"/>
    </xf>
    <xf numFmtId="0" fontId="26" fillId="3" borderId="103" xfId="0" applyFont="1" applyFill="1" applyBorder="1" applyAlignment="1" applyProtection="1">
      <alignment horizontal="center" wrapText="1"/>
    </xf>
    <xf numFmtId="0" fontId="26" fillId="3" borderId="144" xfId="0" applyFont="1" applyFill="1" applyBorder="1" applyAlignment="1" applyProtection="1">
      <alignment horizontal="center"/>
    </xf>
    <xf numFmtId="0" fontId="26" fillId="3" borderId="145" xfId="0" applyFont="1" applyFill="1" applyBorder="1" applyAlignment="1" applyProtection="1">
      <alignment horizontal="center"/>
    </xf>
    <xf numFmtId="2" fontId="26" fillId="3" borderId="133" xfId="0" applyNumberFormat="1" applyFont="1" applyFill="1" applyBorder="1" applyAlignment="1" applyProtection="1">
      <alignment horizontal="center"/>
    </xf>
    <xf numFmtId="2" fontId="26" fillId="0" borderId="146" xfId="0" applyNumberFormat="1" applyFont="1" applyBorder="1" applyAlignment="1" applyProtection="1">
      <alignment horizontal="center"/>
    </xf>
    <xf numFmtId="0" fontId="27" fillId="0" borderId="0" xfId="0" applyFont="1" applyAlignment="1" applyProtection="1">
      <alignment horizontal="right"/>
    </xf>
    <xf numFmtId="7" fontId="26" fillId="0" borderId="32" xfId="0" applyNumberFormat="1" applyFont="1" applyFill="1" applyBorder="1"/>
    <xf numFmtId="164" fontId="26" fillId="0" borderId="0" xfId="0" applyNumberFormat="1" applyFont="1" applyFill="1" applyAlignment="1">
      <alignment horizontal="center"/>
    </xf>
    <xf numFmtId="7" fontId="26" fillId="0" borderId="0" xfId="0" applyNumberFormat="1" applyFont="1" applyFill="1" applyBorder="1"/>
    <xf numFmtId="7" fontId="26" fillId="0" borderId="0" xfId="0" applyNumberFormat="1" applyFont="1" applyFill="1" applyBorder="1" applyAlignment="1">
      <alignment horizontal="center"/>
    </xf>
    <xf numFmtId="7" fontId="29" fillId="0" borderId="0" xfId="0" applyNumberFormat="1" applyFont="1" applyFill="1" applyBorder="1" applyAlignment="1">
      <alignment horizontal="right"/>
    </xf>
    <xf numFmtId="7" fontId="29" fillId="0" borderId="0" xfId="0" applyNumberFormat="1" applyFont="1" applyFill="1" applyBorder="1" applyAlignment="1">
      <alignment horizontal="center"/>
    </xf>
    <xf numFmtId="7" fontId="26" fillId="0" borderId="0" xfId="0" applyNumberFormat="1" applyFont="1" applyFill="1" applyBorder="1" applyAlignment="1"/>
    <xf numFmtId="177" fontId="29" fillId="0" borderId="0" xfId="2" applyNumberFormat="1" applyFont="1" applyFill="1" applyBorder="1"/>
    <xf numFmtId="10" fontId="29" fillId="0" borderId="0" xfId="0" applyNumberFormat="1" applyFont="1" applyFill="1" applyBorder="1"/>
    <xf numFmtId="0" fontId="48" fillId="0" borderId="0" xfId="78" applyFont="1"/>
    <xf numFmtId="7" fontId="48" fillId="0" borderId="0" xfId="78" applyNumberFormat="1" applyFont="1" applyFill="1" applyAlignment="1">
      <alignment horizontal="center"/>
    </xf>
    <xf numFmtId="0" fontId="71" fillId="0" borderId="0" xfId="78" applyFont="1"/>
    <xf numFmtId="0" fontId="24" fillId="0" borderId="0" xfId="78" applyFont="1" applyAlignment="1">
      <alignment wrapText="1"/>
    </xf>
    <xf numFmtId="37" fontId="26" fillId="4" borderId="11" xfId="0" applyNumberFormat="1" applyFont="1" applyFill="1" applyBorder="1" applyAlignment="1" applyProtection="1">
      <alignment horizontal="center"/>
      <protection locked="0"/>
    </xf>
    <xf numFmtId="39" fontId="26" fillId="4" borderId="11" xfId="0" applyNumberFormat="1" applyFont="1" applyFill="1" applyBorder="1" applyAlignment="1" applyProtection="1">
      <alignment horizontal="center"/>
      <protection locked="0"/>
    </xf>
    <xf numFmtId="170" fontId="33" fillId="3" borderId="16" xfId="1" applyNumberFormat="1" applyFont="1" applyFill="1" applyBorder="1" applyAlignment="1" applyProtection="1">
      <alignment horizontal="right"/>
    </xf>
    <xf numFmtId="170" fontId="33" fillId="3" borderId="13" xfId="1" applyNumberFormat="1" applyFont="1" applyFill="1" applyBorder="1" applyAlignment="1" applyProtection="1">
      <alignment horizontal="right"/>
    </xf>
    <xf numFmtId="170" fontId="33" fillId="3" borderId="11" xfId="1" applyNumberFormat="1" applyFont="1" applyFill="1" applyBorder="1" applyAlignment="1" applyProtection="1">
      <alignment horizontal="right"/>
    </xf>
    <xf numFmtId="170" fontId="33" fillId="3" borderId="13" xfId="1" applyNumberFormat="1" applyFont="1" applyFill="1" applyBorder="1" applyAlignment="1" applyProtection="1">
      <alignment horizontal="right" vertical="center"/>
    </xf>
    <xf numFmtId="170" fontId="33" fillId="4" borderId="13" xfId="1" applyNumberFormat="1" applyFont="1" applyFill="1" applyBorder="1" applyAlignment="1" applyProtection="1">
      <alignment horizontal="right" vertical="center"/>
      <protection locked="0"/>
    </xf>
    <xf numFmtId="170" fontId="33" fillId="4" borderId="11" xfId="1" applyNumberFormat="1" applyFont="1" applyFill="1" applyBorder="1" applyAlignment="1" applyProtection="1">
      <alignment horizontal="right" vertical="center"/>
      <protection locked="0"/>
    </xf>
    <xf numFmtId="170" fontId="33" fillId="4" borderId="11" xfId="1" applyNumberFormat="1" applyFont="1" applyFill="1" applyBorder="1" applyAlignment="1" applyProtection="1">
      <alignment horizontal="right"/>
      <protection locked="0"/>
    </xf>
    <xf numFmtId="170" fontId="33" fillId="0" borderId="8" xfId="0" applyNumberFormat="1" applyFont="1" applyFill="1" applyBorder="1" applyAlignment="1" applyProtection="1">
      <alignment horizontal="right"/>
    </xf>
    <xf numFmtId="170" fontId="33" fillId="0" borderId="8" xfId="1" applyNumberFormat="1" applyFont="1" applyFill="1" applyBorder="1" applyAlignment="1" applyProtection="1">
      <alignment horizontal="right"/>
    </xf>
    <xf numFmtId="170" fontId="26" fillId="0" borderId="0" xfId="0" applyNumberFormat="1" applyFont="1" applyFill="1" applyBorder="1" applyAlignment="1" applyProtection="1">
      <alignment horizontal="right"/>
    </xf>
    <xf numFmtId="170" fontId="26" fillId="3" borderId="9" xfId="0" applyNumberFormat="1" applyFont="1" applyFill="1" applyBorder="1" applyAlignment="1" applyProtection="1">
      <alignment horizontal="right"/>
    </xf>
    <xf numFmtId="170" fontId="26" fillId="3" borderId="13" xfId="0" applyNumberFormat="1" applyFont="1" applyFill="1" applyBorder="1" applyAlignment="1" applyProtection="1">
      <alignment horizontal="right"/>
    </xf>
    <xf numFmtId="170" fontId="26" fillId="4" borderId="13" xfId="0" applyNumberFormat="1" applyFont="1" applyFill="1" applyBorder="1" applyAlignment="1" applyProtection="1">
      <alignment horizontal="right"/>
      <protection locked="0"/>
    </xf>
    <xf numFmtId="170" fontId="26" fillId="4" borderId="8" xfId="0" applyNumberFormat="1" applyFont="1" applyFill="1" applyBorder="1" applyAlignment="1" applyProtection="1">
      <protection locked="0"/>
    </xf>
    <xf numFmtId="170" fontId="26" fillId="3" borderId="15" xfId="0" applyNumberFormat="1" applyFont="1" applyFill="1" applyBorder="1" applyAlignment="1" applyProtection="1">
      <alignment horizontal="right"/>
    </xf>
    <xf numFmtId="181" fontId="37" fillId="0" borderId="0" xfId="0" applyNumberFormat="1" applyFont="1" applyAlignment="1" applyProtection="1">
      <alignment horizontal="center"/>
    </xf>
    <xf numFmtId="0" fontId="37" fillId="0" borderId="0" xfId="0" applyFont="1" applyBorder="1" applyAlignment="1" applyProtection="1">
      <alignment horizontal="center"/>
    </xf>
    <xf numFmtId="0" fontId="26" fillId="0" borderId="0" xfId="0" applyFont="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4" borderId="8" xfId="0" applyFont="1" applyFill="1" applyBorder="1" applyAlignment="1" applyProtection="1">
      <alignment horizontal="center"/>
      <protection locked="0"/>
    </xf>
    <xf numFmtId="0" fontId="26" fillId="0" borderId="0" xfId="0" applyFont="1" applyAlignment="1" applyProtection="1">
      <alignment horizontal="justify" wrapText="1"/>
    </xf>
    <xf numFmtId="0" fontId="26" fillId="0" borderId="0" xfId="0" applyFont="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4" borderId="8" xfId="0" applyFont="1" applyFill="1" applyBorder="1" applyAlignment="1" applyProtection="1">
      <alignment horizontal="center"/>
      <protection locked="0"/>
    </xf>
    <xf numFmtId="0" fontId="26" fillId="0" borderId="0" xfId="0" applyFont="1" applyProtection="1"/>
    <xf numFmtId="0" fontId="26" fillId="0" borderId="0" xfId="0" applyFont="1" applyFill="1" applyBorder="1" applyAlignment="1" applyProtection="1">
      <alignment horizontal="center"/>
    </xf>
    <xf numFmtId="0" fontId="26" fillId="0" borderId="0" xfId="0" applyFont="1" applyAlignment="1" applyProtection="1">
      <alignment horizontal="center"/>
    </xf>
    <xf numFmtId="0" fontId="26" fillId="0" borderId="0" xfId="0" applyFont="1" applyBorder="1" applyAlignment="1" applyProtection="1">
      <alignment horizontal="justify" wrapText="1"/>
    </xf>
    <xf numFmtId="0" fontId="26" fillId="0" borderId="0" xfId="0" applyFont="1" applyFill="1" applyAlignment="1" applyProtection="1"/>
    <xf numFmtId="0" fontId="26" fillId="0" borderId="0" xfId="0" applyFont="1" applyFill="1" applyBorder="1" applyAlignment="1" applyProtection="1">
      <alignment horizontal="left"/>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Fill="1" applyBorder="1" applyAlignment="1" applyProtection="1">
      <alignment wrapText="1"/>
    </xf>
    <xf numFmtId="170" fontId="26" fillId="0" borderId="7" xfId="1" applyNumberFormat="1" applyFont="1" applyFill="1" applyBorder="1" applyAlignment="1" applyProtection="1"/>
    <xf numFmtId="170" fontId="26" fillId="4" borderId="0" xfId="1" applyNumberFormat="1"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protection locked="0"/>
    </xf>
    <xf numFmtId="2" fontId="26" fillId="4" borderId="8" xfId="0" applyNumberFormat="1" applyFont="1" applyFill="1" applyBorder="1" applyAlignment="1" applyProtection="1">
      <alignment horizontal="center"/>
      <protection locked="0"/>
    </xf>
    <xf numFmtId="0" fontId="0" fillId="0" borderId="0" xfId="0" applyAlignment="1" applyProtection="1">
      <alignment horizontal="center"/>
    </xf>
    <xf numFmtId="0" fontId="29" fillId="0" borderId="0" xfId="0" applyFont="1" applyBorder="1" applyAlignment="1" applyProtection="1">
      <alignment horizontal="right"/>
    </xf>
    <xf numFmtId="0" fontId="29" fillId="0" borderId="0" xfId="0" applyFont="1" applyAlignment="1" applyProtection="1">
      <alignment horizontal="center"/>
    </xf>
    <xf numFmtId="0" fontId="0" fillId="0" borderId="0" xfId="0" applyBorder="1" applyProtection="1"/>
    <xf numFmtId="0" fontId="0" fillId="0" borderId="0" xfId="0" applyProtection="1"/>
    <xf numFmtId="0" fontId="0" fillId="10" borderId="0" xfId="0" applyFill="1" applyProtection="1"/>
    <xf numFmtId="0" fontId="26" fillId="0" borderId="0" xfId="0" applyFont="1" applyBorder="1" applyAlignment="1" applyProtection="1">
      <alignment vertical="top" wrapText="1"/>
    </xf>
    <xf numFmtId="0" fontId="0" fillId="0" borderId="0" xfId="0" applyFill="1" applyBorder="1" applyProtection="1"/>
    <xf numFmtId="0" fontId="26" fillId="0" borderId="0" xfId="0" applyFont="1" applyFill="1" applyBorder="1" applyAlignment="1" applyProtection="1">
      <alignment vertical="top" wrapText="1"/>
    </xf>
    <xf numFmtId="0" fontId="0" fillId="0" borderId="0" xfId="0" applyFill="1" applyProtection="1"/>
    <xf numFmtId="0" fontId="26" fillId="4" borderId="103" xfId="0" applyFont="1" applyFill="1" applyBorder="1" applyAlignment="1" applyProtection="1">
      <alignment horizontal="center"/>
      <protection locked="0"/>
    </xf>
    <xf numFmtId="0" fontId="26" fillId="4" borderId="104" xfId="0" applyFont="1" applyFill="1" applyBorder="1" applyAlignment="1" applyProtection="1">
      <alignment horizontal="center"/>
      <protection locked="0"/>
    </xf>
    <xf numFmtId="0" fontId="26" fillId="4" borderId="105" xfId="0" applyFont="1" applyFill="1" applyBorder="1" applyAlignment="1" applyProtection="1">
      <alignment horizontal="center"/>
      <protection locked="0"/>
    </xf>
    <xf numFmtId="0" fontId="26" fillId="4" borderId="11" xfId="0" applyFont="1" applyFill="1" applyBorder="1" applyAlignment="1" applyProtection="1">
      <alignment horizontal="center" wrapText="1"/>
      <protection locked="0"/>
    </xf>
    <xf numFmtId="44" fontId="26" fillId="0" borderId="0" xfId="1" applyFont="1" applyFill="1" applyBorder="1" applyAlignment="1" applyProtection="1"/>
    <xf numFmtId="7" fontId="26" fillId="46" borderId="120" xfId="0" applyNumberFormat="1" applyFont="1" applyFill="1" applyBorder="1" applyAlignment="1" applyProtection="1">
      <alignment horizontal="right"/>
      <protection locked="0"/>
    </xf>
    <xf numFmtId="7" fontId="26" fillId="46" borderId="11" xfId="0" applyNumberFormat="1" applyFont="1" applyFill="1" applyBorder="1" applyAlignment="1" applyProtection="1">
      <alignment horizontal="right"/>
      <protection locked="0"/>
    </xf>
    <xf numFmtId="170" fontId="33" fillId="3" borderId="13" xfId="0" applyNumberFormat="1" applyFont="1" applyFill="1" applyBorder="1" applyAlignment="1" applyProtection="1">
      <alignment horizontal="right"/>
    </xf>
    <xf numFmtId="7" fontId="29" fillId="46" borderId="41" xfId="0" applyNumberFormat="1" applyFont="1" applyFill="1" applyBorder="1" applyProtection="1">
      <protection locked="0"/>
    </xf>
    <xf numFmtId="0" fontId="26" fillId="4" borderId="8" xfId="0" applyFont="1" applyFill="1" applyBorder="1" applyAlignment="1" applyProtection="1">
      <alignment horizontal="center" wrapText="1"/>
      <protection locked="0"/>
    </xf>
    <xf numFmtId="0" fontId="26" fillId="0" borderId="0" xfId="0" applyFont="1" applyFill="1" applyProtection="1"/>
    <xf numFmtId="5" fontId="24" fillId="0" borderId="0" xfId="78" applyNumberFormat="1" applyFont="1" applyFill="1" applyAlignment="1">
      <alignment horizontal="center"/>
    </xf>
    <xf numFmtId="5" fontId="24" fillId="0" borderId="133" xfId="78" applyNumberFormat="1" applyFont="1" applyFill="1" applyBorder="1" applyAlignment="1">
      <alignment horizontal="center"/>
    </xf>
    <xf numFmtId="5" fontId="24" fillId="0" borderId="32" xfId="78" applyNumberFormat="1" applyFont="1" applyFill="1" applyBorder="1" applyAlignment="1">
      <alignment horizontal="center"/>
    </xf>
    <xf numFmtId="5" fontId="24" fillId="0" borderId="32" xfId="78" applyNumberFormat="1" applyFont="1" applyFill="1" applyBorder="1" applyAlignment="1" applyProtection="1">
      <alignment horizontal="center"/>
    </xf>
    <xf numFmtId="5" fontId="24" fillId="46" borderId="32" xfId="78" applyNumberFormat="1" applyFont="1" applyFill="1" applyBorder="1" applyAlignment="1" applyProtection="1">
      <alignment horizontal="center"/>
      <protection locked="0"/>
    </xf>
    <xf numFmtId="0" fontId="26" fillId="0" borderId="0" xfId="0" applyFont="1" applyFill="1" applyBorder="1" applyAlignment="1" applyProtection="1">
      <alignment horizontal="center" vertical="center"/>
    </xf>
    <xf numFmtId="0" fontId="26" fillId="0" borderId="0" xfId="0" applyFont="1" applyFill="1" applyAlignment="1" applyProtection="1">
      <alignment horizontal="center" vertical="center"/>
    </xf>
    <xf numFmtId="170" fontId="33" fillId="0" borderId="149" xfId="0" applyNumberFormat="1" applyFont="1" applyFill="1" applyBorder="1" applyAlignment="1" applyProtection="1">
      <alignment horizontal="center" vertical="center"/>
    </xf>
    <xf numFmtId="0" fontId="26" fillId="0" borderId="0" xfId="0" applyFont="1" applyProtection="1"/>
    <xf numFmtId="0" fontId="26" fillId="0" borderId="0" xfId="0" applyFont="1" applyAlignment="1" applyProtection="1">
      <alignment horizontal="center"/>
    </xf>
    <xf numFmtId="0" fontId="26" fillId="0" borderId="0" xfId="0" applyFont="1" applyAlignment="1" applyProtection="1">
      <alignment horizontal="left"/>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3" borderId="13" xfId="0" applyFont="1" applyFill="1" applyBorder="1" applyAlignment="1" applyProtection="1">
      <alignment horizontal="center"/>
    </xf>
    <xf numFmtId="0" fontId="26" fillId="3" borderId="1" xfId="0" applyFont="1" applyFill="1" applyBorder="1" applyAlignment="1" applyProtection="1">
      <alignment horizontal="center"/>
    </xf>
    <xf numFmtId="0" fontId="26" fillId="3" borderId="7" xfId="0" applyFont="1" applyFill="1" applyBorder="1" applyAlignment="1" applyProtection="1">
      <alignment horizontal="center"/>
    </xf>
    <xf numFmtId="0" fontId="26" fillId="3" borderId="2" xfId="0" applyFont="1" applyFill="1" applyBorder="1" applyAlignment="1" applyProtection="1">
      <alignment horizontal="center"/>
    </xf>
    <xf numFmtId="0" fontId="26" fillId="3" borderId="5" xfId="0"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13" xfId="0" applyFont="1" applyFill="1" applyBorder="1" applyAlignment="1" applyProtection="1">
      <alignment horizontal="center"/>
    </xf>
    <xf numFmtId="44" fontId="26" fillId="0" borderId="118" xfId="1" applyFont="1" applyBorder="1" applyAlignment="1" applyProtection="1">
      <alignment horizontal="center"/>
    </xf>
    <xf numFmtId="44" fontId="26" fillId="0" borderId="107" xfId="1" applyFont="1" applyBorder="1" applyAlignment="1" applyProtection="1">
      <alignment horizontal="center"/>
    </xf>
    <xf numFmtId="170" fontId="26" fillId="6" borderId="0" xfId="0" applyNumberFormat="1" applyFont="1" applyFill="1" applyAlignment="1" applyProtection="1"/>
    <xf numFmtId="0" fontId="26" fillId="0" borderId="132" xfId="0" applyFont="1" applyBorder="1" applyAlignment="1" applyProtection="1">
      <alignment horizontal="center"/>
    </xf>
    <xf numFmtId="0" fontId="26" fillId="0" borderId="119" xfId="0" applyFont="1" applyBorder="1" applyAlignment="1" applyProtection="1">
      <alignment horizontal="center"/>
    </xf>
    <xf numFmtId="170" fontId="26" fillId="3" borderId="19" xfId="0" applyNumberFormat="1" applyFont="1" applyFill="1" applyBorder="1" applyAlignment="1" applyProtection="1">
      <alignment horizontal="right"/>
    </xf>
    <xf numFmtId="0" fontId="29" fillId="47" borderId="0" xfId="0" applyFont="1" applyFill="1" applyAlignment="1" applyProtection="1">
      <alignment wrapText="1"/>
    </xf>
    <xf numFmtId="0" fontId="26" fillId="47" borderId="0" xfId="0" applyFont="1" applyFill="1" applyAlignment="1">
      <alignment horizontal="right"/>
    </xf>
    <xf numFmtId="0" fontId="29" fillId="47" borderId="0" xfId="0" applyFont="1" applyFill="1" applyAlignment="1" applyProtection="1">
      <alignment horizontal="right"/>
    </xf>
    <xf numFmtId="7" fontId="24" fillId="0" borderId="70" xfId="77" applyNumberFormat="1" applyFont="1" applyFill="1" applyBorder="1" applyAlignment="1" applyProtection="1">
      <alignment horizontal="center" vertical="center" wrapText="1"/>
    </xf>
    <xf numFmtId="14" fontId="26" fillId="0" borderId="70" xfId="0" applyNumberFormat="1" applyFont="1" applyFill="1" applyBorder="1" applyAlignment="1" applyProtection="1">
      <alignment horizontal="center" wrapText="1"/>
    </xf>
    <xf numFmtId="0" fontId="26" fillId="47" borderId="0" xfId="0" applyFont="1" applyFill="1"/>
    <xf numFmtId="7" fontId="26" fillId="47" borderId="0" xfId="0" applyNumberFormat="1" applyFont="1" applyFill="1"/>
    <xf numFmtId="7" fontId="26" fillId="47" borderId="0" xfId="0" applyNumberFormat="1" applyFont="1" applyFill="1" applyBorder="1"/>
    <xf numFmtId="0" fontId="26" fillId="47" borderId="0" xfId="0" applyFont="1" applyFill="1" applyBorder="1"/>
    <xf numFmtId="170" fontId="26" fillId="47" borderId="0" xfId="0" applyNumberFormat="1" applyFont="1" applyFill="1"/>
    <xf numFmtId="0" fontId="29" fillId="47" borderId="0" xfId="0" applyFont="1" applyFill="1" applyProtection="1"/>
    <xf numFmtId="0" fontId="26" fillId="47" borderId="0" xfId="0" applyFont="1" applyFill="1" applyProtection="1"/>
    <xf numFmtId="0" fontId="26" fillId="47" borderId="0" xfId="0" applyFont="1" applyFill="1" applyAlignment="1" applyProtection="1">
      <alignment horizontal="center"/>
    </xf>
    <xf numFmtId="0" fontId="26" fillId="47" borderId="0" xfId="0" applyFont="1" applyFill="1" applyAlignment="1" applyProtection="1">
      <alignment horizontal="right"/>
    </xf>
    <xf numFmtId="0" fontId="26" fillId="47" borderId="0" xfId="0" applyFont="1" applyFill="1" applyAlignment="1" applyProtection="1">
      <alignment horizontal="left"/>
    </xf>
    <xf numFmtId="0" fontId="26" fillId="47" borderId="0" xfId="0" applyFont="1" applyFill="1" applyAlignment="1" applyProtection="1"/>
    <xf numFmtId="0" fontId="26" fillId="47" borderId="0" xfId="3" applyFont="1" applyFill="1" applyProtection="1"/>
    <xf numFmtId="0" fontId="26" fillId="47" borderId="0" xfId="0" applyFont="1" applyFill="1" applyBorder="1" applyProtection="1"/>
    <xf numFmtId="0" fontId="26" fillId="0" borderId="0" xfId="0" applyFont="1" applyAlignment="1" applyProtection="1">
      <alignment horizontal="left"/>
    </xf>
    <xf numFmtId="0" fontId="26" fillId="0" borderId="132" xfId="0" applyFont="1" applyBorder="1" applyAlignment="1" applyProtection="1">
      <alignment horizontal="center" wrapText="1"/>
    </xf>
    <xf numFmtId="0" fontId="26" fillId="4" borderId="94" xfId="0" applyFont="1" applyFill="1" applyBorder="1" applyAlignment="1" applyProtection="1">
      <alignment horizontal="center" vertical="center" wrapText="1"/>
      <protection locked="0"/>
    </xf>
    <xf numFmtId="0" fontId="26" fillId="0" borderId="0" xfId="0" applyFont="1" applyAlignment="1" applyProtection="1">
      <alignment horizontal="left" vertical="center" wrapText="1"/>
    </xf>
    <xf numFmtId="0" fontId="26" fillId="0" borderId="0" xfId="0" applyFont="1" applyProtection="1"/>
    <xf numFmtId="0" fontId="26" fillId="0" borderId="0" xfId="0" applyFont="1" applyAlignme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Protection="1"/>
    <xf numFmtId="0" fontId="37" fillId="0" borderId="0" xfId="0" applyFont="1" applyAlignment="1" applyProtection="1">
      <alignment horizontal="center" wrapText="1"/>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Fill="1" applyAlignment="1" applyProtection="1">
      <alignment horizontal="left" wrapText="1"/>
    </xf>
    <xf numFmtId="0" fontId="26" fillId="0" borderId="0" xfId="0" applyFont="1" applyFill="1" applyBorder="1" applyAlignment="1" applyProtection="1"/>
    <xf numFmtId="0" fontId="26" fillId="0" borderId="0" xfId="0" applyFont="1" applyFill="1" applyAlignment="1" applyProtection="1"/>
    <xf numFmtId="0" fontId="26" fillId="0" borderId="0" xfId="0" applyFont="1" applyFill="1" applyProtection="1"/>
    <xf numFmtId="0" fontId="26" fillId="0" borderId="0" xfId="0" applyFont="1" applyAlignment="1" applyProtection="1">
      <alignment horizontal="center"/>
    </xf>
    <xf numFmtId="0" fontId="26" fillId="0" borderId="0" xfId="0" applyFont="1" applyBorder="1" applyProtection="1"/>
    <xf numFmtId="0" fontId="26" fillId="0" borderId="0" xfId="0" applyFont="1" applyProtection="1"/>
    <xf numFmtId="0" fontId="26" fillId="0" borderId="0" xfId="0" applyFont="1" applyFill="1" applyBorder="1" applyAlignment="1" applyProtection="1">
      <alignment horizontal="center" wrapText="1"/>
    </xf>
    <xf numFmtId="0" fontId="26" fillId="0" borderId="0" xfId="0" applyFont="1" applyBorder="1" applyAlignment="1" applyProtection="1">
      <alignment horizontal="justify" wrapText="1"/>
    </xf>
    <xf numFmtId="0" fontId="26" fillId="0" borderId="0" xfId="0" applyFont="1" applyBorder="1" applyAlignment="1" applyProtection="1">
      <alignment horizontal="justify" vertical="top" wrapText="1"/>
    </xf>
    <xf numFmtId="0" fontId="27" fillId="0" borderId="0" xfId="0" applyFont="1" applyBorder="1" applyAlignment="1" applyProtection="1">
      <alignment horizontal="justify" wrapText="1"/>
    </xf>
    <xf numFmtId="0" fontId="37" fillId="0" borderId="0" xfId="0" applyFont="1" applyAlignment="1" applyProtection="1">
      <alignment horizontal="center" wrapText="1"/>
    </xf>
    <xf numFmtId="10" fontId="26" fillId="4" borderId="8" xfId="0" applyNumberFormat="1" applyFont="1" applyFill="1" applyBorder="1" applyAlignment="1" applyProtection="1">
      <alignment horizontal="center"/>
      <protection locked="0"/>
    </xf>
    <xf numFmtId="0" fontId="76" fillId="0" borderId="0" xfId="0" applyFont="1" applyFill="1" applyBorder="1" applyAlignment="1" applyProtection="1">
      <alignment horizontal="justify" vertical="top"/>
    </xf>
    <xf numFmtId="0" fontId="76" fillId="0" borderId="0" xfId="0" applyFont="1" applyFill="1" applyBorder="1" applyAlignment="1" applyProtection="1">
      <alignment vertical="top"/>
    </xf>
    <xf numFmtId="0" fontId="37" fillId="0" borderId="0" xfId="0" applyFont="1" applyFill="1" applyAlignment="1" applyProtection="1">
      <alignment wrapText="1"/>
    </xf>
    <xf numFmtId="0" fontId="76" fillId="0" borderId="0" xfId="0" applyFont="1" applyFill="1" applyBorder="1" applyAlignment="1" applyProtection="1">
      <alignment horizontal="justify"/>
    </xf>
    <xf numFmtId="0" fontId="73" fillId="0" borderId="44" xfId="0" applyFont="1" applyFill="1" applyBorder="1" applyAlignment="1" applyProtection="1">
      <alignment horizontal="left" vertical="top" wrapText="1"/>
    </xf>
    <xf numFmtId="0" fontId="75" fillId="0" borderId="112" xfId="0" applyFont="1" applyFill="1" applyBorder="1" applyAlignment="1" applyProtection="1">
      <alignment horizontal="right" vertical="top"/>
    </xf>
    <xf numFmtId="0" fontId="26" fillId="0" borderId="112" xfId="0" applyFont="1" applyFill="1" applyBorder="1" applyAlignment="1" applyProtection="1">
      <alignment horizontal="right" vertical="top"/>
    </xf>
    <xf numFmtId="0" fontId="26" fillId="0" borderId="0" xfId="0" applyFont="1" applyFill="1" applyBorder="1" applyAlignment="1" applyProtection="1">
      <alignment vertical="top"/>
    </xf>
    <xf numFmtId="0" fontId="75" fillId="0" borderId="0" xfId="0" applyFont="1" applyFill="1" applyBorder="1" applyAlignment="1" applyProtection="1">
      <alignment horizontal="left" wrapText="1"/>
    </xf>
    <xf numFmtId="0" fontId="74" fillId="0" borderId="44" xfId="0" applyFont="1" applyFill="1" applyBorder="1" applyProtection="1"/>
    <xf numFmtId="0" fontId="75" fillId="0" borderId="112" xfId="0" applyFont="1" applyFill="1" applyBorder="1" applyAlignment="1" applyProtection="1">
      <alignment horizontal="right" vertical="center"/>
    </xf>
    <xf numFmtId="0" fontId="76" fillId="0" borderId="0" xfId="0" applyFont="1" applyFill="1" applyBorder="1" applyProtection="1"/>
    <xf numFmtId="0" fontId="76" fillId="0" borderId="112" xfId="0" applyFont="1" applyFill="1" applyBorder="1" applyAlignment="1" applyProtection="1">
      <alignment vertical="center"/>
    </xf>
    <xf numFmtId="0" fontId="26" fillId="0" borderId="112" xfId="0" applyFont="1" applyFill="1" applyBorder="1" applyProtection="1"/>
    <xf numFmtId="0" fontId="26" fillId="0" borderId="44" xfId="0" applyFont="1" applyFill="1" applyBorder="1" applyProtection="1"/>
    <xf numFmtId="0" fontId="26" fillId="0" borderId="112" xfId="0" applyFont="1" applyFill="1" applyBorder="1" applyAlignment="1" applyProtection="1">
      <alignment horizontal="right"/>
    </xf>
    <xf numFmtId="0" fontId="26" fillId="0" borderId="112" xfId="0" applyFont="1" applyFill="1" applyBorder="1" applyAlignment="1" applyProtection="1"/>
    <xf numFmtId="0" fontId="26" fillId="0" borderId="0" xfId="0" quotePrefix="1" applyFont="1" applyFill="1" applyBorder="1" applyAlignment="1" applyProtection="1">
      <alignment horizontal="center" wrapText="1"/>
    </xf>
    <xf numFmtId="5" fontId="26" fillId="0" borderId="0" xfId="0" applyNumberFormat="1" applyFont="1" applyProtection="1"/>
    <xf numFmtId="0" fontId="26" fillId="0" borderId="41" xfId="0" applyFont="1" applyBorder="1" applyAlignment="1" applyProtection="1">
      <alignment horizontal="center"/>
    </xf>
    <xf numFmtId="5" fontId="26" fillId="0" borderId="92" xfId="0" applyNumberFormat="1" applyFont="1" applyBorder="1" applyAlignment="1" applyProtection="1">
      <alignment horizontal="center"/>
    </xf>
    <xf numFmtId="0" fontId="26" fillId="0" borderId="91" xfId="0" applyFont="1" applyBorder="1" applyProtection="1"/>
    <xf numFmtId="176" fontId="26" fillId="0" borderId="41" xfId="0" applyNumberFormat="1" applyFont="1" applyBorder="1" applyProtection="1"/>
    <xf numFmtId="176" fontId="26" fillId="0" borderId="92" xfId="0" applyNumberFormat="1" applyFont="1" applyBorder="1" applyProtection="1"/>
    <xf numFmtId="0" fontId="26" fillId="0" borderId="93" xfId="0" applyFont="1" applyBorder="1" applyProtection="1"/>
    <xf numFmtId="176" fontId="26" fillId="0" borderId="45" xfId="0" applyNumberFormat="1" applyFont="1" applyBorder="1" applyProtection="1"/>
    <xf numFmtId="176" fontId="26" fillId="0" borderId="94" xfId="0" applyNumberFormat="1" applyFont="1" applyBorder="1" applyProtection="1"/>
    <xf numFmtId="0" fontId="26" fillId="0" borderId="0" xfId="0" applyFont="1" applyProtection="1"/>
    <xf numFmtId="0" fontId="26" fillId="0" borderId="0" xfId="0" applyFont="1" applyFill="1" applyAlignment="1" applyProtection="1">
      <alignment horizontal="center"/>
    </xf>
    <xf numFmtId="0" fontId="26" fillId="0" borderId="0" xfId="0" applyFont="1" applyAlignment="1" applyProtection="1">
      <alignment horizontal="left"/>
    </xf>
    <xf numFmtId="0" fontId="26" fillId="0" borderId="0" xfId="0" applyFont="1" applyFill="1" applyProtection="1"/>
    <xf numFmtId="7" fontId="26" fillId="4" borderId="10" xfId="0" applyNumberFormat="1" applyFont="1" applyFill="1" applyBorder="1" applyAlignment="1" applyProtection="1">
      <alignment horizontal="center"/>
      <protection locked="0"/>
    </xf>
    <xf numFmtId="170" fontId="26" fillId="3" borderId="10" xfId="0" applyNumberFormat="1" applyFont="1" applyFill="1" applyBorder="1" applyAlignment="1" applyProtection="1">
      <alignment horizontal="center"/>
    </xf>
    <xf numFmtId="170" fontId="26" fillId="3" borderId="10" xfId="0" applyNumberFormat="1" applyFont="1" applyFill="1" applyBorder="1" applyAlignment="1" applyProtection="1">
      <alignment horizontal="center"/>
    </xf>
    <xf numFmtId="4" fontId="26" fillId="3" borderId="8" xfId="3" applyNumberFormat="1" applyFont="1" applyFill="1" applyBorder="1" applyAlignment="1" applyProtection="1">
      <alignment horizontal="center"/>
    </xf>
    <xf numFmtId="0" fontId="26" fillId="0" borderId="0" xfId="0" applyFont="1" applyProtection="1"/>
    <xf numFmtId="0" fontId="26" fillId="0" borderId="0" xfId="0" applyFont="1" applyAlignment="1" applyProtection="1">
      <alignment horizontal="left"/>
    </xf>
    <xf numFmtId="0" fontId="26" fillId="3" borderId="11" xfId="0" applyFont="1" applyFill="1" applyBorder="1" applyAlignment="1" applyProtection="1">
      <alignment horizontal="center"/>
    </xf>
    <xf numFmtId="0" fontId="26" fillId="0" borderId="0" xfId="0" applyFont="1" applyAlignment="1" applyProtection="1">
      <alignment horizontal="left" indent="1"/>
    </xf>
    <xf numFmtId="0" fontId="26" fillId="0" borderId="0" xfId="0" applyFont="1" applyAlignment="1" applyProtection="1">
      <alignment horizontal="right"/>
    </xf>
    <xf numFmtId="0" fontId="26" fillId="0" borderId="0" xfId="0" applyFont="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protection locked="0"/>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Fill="1" applyAlignment="1" applyProtection="1"/>
    <xf numFmtId="0" fontId="26" fillId="0" borderId="0" xfId="0" applyFont="1" applyFill="1" applyProtection="1"/>
    <xf numFmtId="0" fontId="27" fillId="0" borderId="0" xfId="0" applyFont="1" applyBorder="1" applyAlignment="1" applyProtection="1">
      <alignment horizontal="center"/>
    </xf>
    <xf numFmtId="49" fontId="26" fillId="0" borderId="0" xfId="0" applyNumberFormat="1" applyFont="1" applyFill="1" applyProtection="1"/>
    <xf numFmtId="49" fontId="26" fillId="0" borderId="0" xfId="0" applyNumberFormat="1" applyFont="1" applyFill="1" applyAlignment="1" applyProtection="1">
      <alignment horizontal="center"/>
    </xf>
    <xf numFmtId="0" fontId="75" fillId="0" borderId="0" xfId="0" applyFont="1" applyFill="1" applyBorder="1" applyAlignment="1" applyProtection="1">
      <alignment vertical="top" wrapText="1"/>
    </xf>
    <xf numFmtId="0" fontId="75" fillId="0" borderId="0" xfId="0" applyFont="1" applyFill="1" applyBorder="1" applyAlignment="1" applyProtection="1">
      <alignment horizontal="right" vertical="center"/>
    </xf>
    <xf numFmtId="0" fontId="26" fillId="0" borderId="0" xfId="0" applyFont="1" applyProtection="1"/>
    <xf numFmtId="0" fontId="26" fillId="3" borderId="1" xfId="0" applyFont="1" applyFill="1" applyBorder="1" applyAlignment="1" applyProtection="1">
      <alignment horizontal="center"/>
    </xf>
    <xf numFmtId="0" fontId="26" fillId="3" borderId="5" xfId="0" applyFont="1" applyFill="1" applyBorder="1" applyAlignment="1" applyProtection="1">
      <alignment horizontal="center"/>
    </xf>
    <xf numFmtId="0" fontId="26" fillId="4" borderId="10" xfId="0" applyFont="1" applyFill="1" applyBorder="1" applyAlignment="1" applyProtection="1">
      <alignment horizontal="center"/>
      <protection locked="0"/>
    </xf>
    <xf numFmtId="0" fontId="26" fillId="3" borderId="10" xfId="0" applyFont="1" applyFill="1" applyBorder="1" applyAlignment="1" applyProtection="1">
      <alignment horizontal="center"/>
    </xf>
    <xf numFmtId="49" fontId="26" fillId="6" borderId="10" xfId="0" applyNumberFormat="1" applyFont="1" applyFill="1" applyBorder="1" applyAlignment="1" applyProtection="1">
      <alignment horizontal="center"/>
    </xf>
    <xf numFmtId="49" fontId="26" fillId="6" borderId="8" xfId="0" applyNumberFormat="1" applyFont="1" applyFill="1" applyBorder="1" applyAlignment="1" applyProtection="1">
      <alignment horizontal="center"/>
    </xf>
    <xf numFmtId="0" fontId="26" fillId="3" borderId="22" xfId="0" applyFont="1" applyFill="1" applyBorder="1" applyAlignment="1" applyProtection="1">
      <alignment horizontal="center"/>
    </xf>
    <xf numFmtId="0" fontId="26" fillId="3" borderId="13" xfId="0" applyFont="1" applyFill="1" applyBorder="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left"/>
    </xf>
    <xf numFmtId="0" fontId="26" fillId="0" borderId="0" xfId="0" applyFont="1" applyBorder="1" applyProtection="1"/>
    <xf numFmtId="0" fontId="26" fillId="0" borderId="0" xfId="0" applyFont="1" applyAlignment="1" applyProtection="1"/>
    <xf numFmtId="0" fontId="37" fillId="0" borderId="0" xfId="0" applyFont="1" applyAlignment="1" applyProtection="1">
      <alignment horizontal="center" wrapText="1"/>
    </xf>
    <xf numFmtId="0" fontId="26" fillId="0" borderId="10" xfId="0" applyFont="1" applyBorder="1" applyAlignment="1" applyProtection="1">
      <alignment horizontal="left"/>
    </xf>
    <xf numFmtId="0" fontId="29" fillId="0" borderId="9" xfId="0" applyFont="1" applyBorder="1" applyAlignment="1" applyProtection="1">
      <alignment horizontal="left"/>
    </xf>
    <xf numFmtId="0" fontId="29" fillId="0" borderId="12" xfId="0" applyFont="1" applyBorder="1" applyAlignment="1" applyProtection="1">
      <alignment horizontal="left"/>
    </xf>
    <xf numFmtId="0" fontId="26" fillId="0" borderId="0" xfId="0" applyFont="1" applyAlignment="1" applyProtection="1">
      <alignment horizontal="right"/>
    </xf>
    <xf numFmtId="0" fontId="26" fillId="0" borderId="0" xfId="0" applyFont="1" applyFill="1" applyProtection="1"/>
    <xf numFmtId="0" fontId="26" fillId="0" borderId="0" xfId="3" applyFont="1" applyFill="1" applyBorder="1" applyAlignment="1" applyProtection="1">
      <alignment horizontal="justify" wrapText="1"/>
    </xf>
    <xf numFmtId="9" fontId="26" fillId="0" borderId="0" xfId="0" applyNumberFormat="1" applyFont="1" applyFill="1" applyProtection="1"/>
    <xf numFmtId="49" fontId="26" fillId="0" borderId="0" xfId="0" applyNumberFormat="1" applyFont="1" applyProtection="1"/>
    <xf numFmtId="0" fontId="80" fillId="0" borderId="0" xfId="0" applyFont="1" applyAlignment="1">
      <alignment horizontal="center"/>
    </xf>
    <xf numFmtId="44" fontId="80" fillId="0" borderId="0" xfId="1" applyFont="1" applyAlignment="1">
      <alignment horizontal="center"/>
    </xf>
    <xf numFmtId="10" fontId="80" fillId="0" borderId="0" xfId="2" applyNumberFormat="1" applyFont="1" applyAlignment="1">
      <alignment horizontal="center"/>
    </xf>
    <xf numFmtId="0" fontId="80" fillId="0" borderId="0" xfId="0" applyFont="1"/>
    <xf numFmtId="44" fontId="80" fillId="0" borderId="0" xfId="0" applyNumberFormat="1" applyFont="1"/>
    <xf numFmtId="14" fontId="80" fillId="0" borderId="0" xfId="0" applyNumberFormat="1" applyFont="1" applyAlignment="1">
      <alignment horizontal="center"/>
    </xf>
    <xf numFmtId="14" fontId="80" fillId="0" borderId="0" xfId="0" applyNumberFormat="1" applyFont="1"/>
    <xf numFmtId="8" fontId="80" fillId="0" borderId="0" xfId="1" applyNumberFormat="1" applyFont="1" applyAlignment="1">
      <alignment horizontal="right"/>
    </xf>
    <xf numFmtId="44" fontId="80" fillId="0" borderId="0" xfId="0" applyNumberFormat="1" applyFont="1" applyAlignment="1">
      <alignment horizontal="center"/>
    </xf>
    <xf numFmtId="0" fontId="80" fillId="0" borderId="154" xfId="0" applyFont="1" applyBorder="1" applyAlignment="1">
      <alignment horizontal="center"/>
    </xf>
    <xf numFmtId="14" fontId="80" fillId="0" borderId="154" xfId="0" applyNumberFormat="1" applyFont="1" applyBorder="1"/>
    <xf numFmtId="44" fontId="80" fillId="0" borderId="154" xfId="0" applyNumberFormat="1" applyFont="1" applyBorder="1" applyAlignment="1">
      <alignment horizontal="center"/>
    </xf>
    <xf numFmtId="8" fontId="80" fillId="0" borderId="154" xfId="1" applyNumberFormat="1" applyFont="1" applyBorder="1" applyAlignment="1">
      <alignment horizontal="right"/>
    </xf>
    <xf numFmtId="10" fontId="80" fillId="0" borderId="154" xfId="2" applyNumberFormat="1" applyFont="1" applyBorder="1" applyAlignment="1">
      <alignment horizontal="center"/>
    </xf>
    <xf numFmtId="44" fontId="80" fillId="0" borderId="154" xfId="1" applyFont="1" applyBorder="1" applyAlignment="1">
      <alignment horizontal="center"/>
    </xf>
    <xf numFmtId="182" fontId="80" fillId="0" borderId="0" xfId="0" applyNumberFormat="1" applyFont="1" applyFill="1"/>
    <xf numFmtId="0" fontId="26" fillId="0" borderId="0" xfId="0" applyFont="1" applyAlignment="1" applyProtection="1">
      <alignment horizontal="center"/>
    </xf>
    <xf numFmtId="7" fontId="26" fillId="0" borderId="6" xfId="0" applyNumberFormat="1" applyFont="1" applyFill="1" applyBorder="1" applyAlignment="1" applyProtection="1">
      <alignment horizontal="right"/>
    </xf>
    <xf numFmtId="170" fontId="26" fillId="0" borderId="11" xfId="0" applyNumberFormat="1" applyFont="1" applyBorder="1" applyAlignment="1" applyProtection="1">
      <alignment horizontal="right"/>
    </xf>
    <xf numFmtId="7" fontId="26" fillId="6" borderId="0" xfId="0" applyNumberFormat="1" applyFont="1" applyFill="1" applyBorder="1" applyAlignment="1" applyProtection="1">
      <alignment horizontal="right"/>
    </xf>
    <xf numFmtId="0" fontId="26" fillId="0" borderId="11" xfId="0" applyFont="1" applyBorder="1" applyAlignment="1" applyProtection="1">
      <alignment horizontal="right"/>
    </xf>
    <xf numFmtId="170" fontId="80" fillId="49" borderId="0" xfId="1" applyNumberFormat="1" applyFont="1" applyFill="1" applyAlignment="1">
      <alignment horizontal="center"/>
    </xf>
    <xf numFmtId="173" fontId="80" fillId="0" borderId="0" xfId="0" applyNumberFormat="1" applyFont="1" applyAlignment="1">
      <alignment horizontal="center"/>
    </xf>
    <xf numFmtId="1" fontId="80" fillId="0" borderId="0" xfId="0" applyNumberFormat="1" applyFont="1"/>
    <xf numFmtId="1" fontId="26" fillId="0" borderId="0" xfId="0" applyNumberFormat="1" applyFont="1" applyBorder="1" applyProtection="1"/>
    <xf numFmtId="0" fontId="26" fillId="0" borderId="0" xfId="0" applyFont="1" applyAlignment="1">
      <alignment vertical="center" wrapText="1"/>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Alignment="1" applyProtection="1">
      <alignment horizontal="center"/>
    </xf>
    <xf numFmtId="0" fontId="26" fillId="0" borderId="0" xfId="0" applyFont="1" applyProtection="1"/>
    <xf numFmtId="0" fontId="26" fillId="4" borderId="8" xfId="0" applyFont="1" applyFill="1" applyBorder="1" applyAlignment="1" applyProtection="1">
      <alignment horizontal="center"/>
      <protection locked="0"/>
    </xf>
    <xf numFmtId="0" fontId="26" fillId="4" borderId="8" xfId="0" applyFont="1" applyFill="1" applyBorder="1" applyAlignment="1" applyProtection="1">
      <alignment horizontal="center"/>
    </xf>
    <xf numFmtId="0" fontId="26" fillId="4" borderId="10" xfId="0" applyFont="1" applyFill="1" applyBorder="1" applyAlignment="1" applyProtection="1">
      <alignment horizontal="center"/>
    </xf>
    <xf numFmtId="0" fontId="26" fillId="4" borderId="12" xfId="0" applyFont="1" applyFill="1" applyBorder="1" applyAlignment="1" applyProtection="1">
      <alignment horizontal="center"/>
    </xf>
    <xf numFmtId="0" fontId="26" fillId="4" borderId="10" xfId="0" applyFont="1" applyFill="1" applyBorder="1" applyAlignment="1" applyProtection="1">
      <alignment horizontal="center"/>
      <protection locked="0"/>
    </xf>
    <xf numFmtId="7" fontId="26" fillId="4" borderId="10"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protection locked="0"/>
    </xf>
    <xf numFmtId="0" fontId="26" fillId="0" borderId="0" xfId="0" applyFont="1" applyAlignment="1" applyProtection="1">
      <alignment horizontal="right"/>
    </xf>
    <xf numFmtId="0" fontId="26" fillId="0" borderId="0" xfId="0" applyFont="1" applyBorder="1" applyAlignment="1">
      <alignment vertical="center" wrapText="1"/>
    </xf>
    <xf numFmtId="0" fontId="29" fillId="0" borderId="0" xfId="0" applyFont="1" applyBorder="1" applyAlignment="1">
      <alignment vertical="center" wrapText="1"/>
    </xf>
    <xf numFmtId="7" fontId="24" fillId="46" borderId="32" xfId="77" applyNumberFormat="1" applyFont="1" applyFill="1" applyBorder="1" applyProtection="1">
      <protection locked="0"/>
    </xf>
    <xf numFmtId="0" fontId="26" fillId="4" borderId="8" xfId="0" applyFont="1" applyFill="1" applyBorder="1" applyAlignment="1" applyProtection="1">
      <alignment horizontal="center"/>
      <protection locked="0"/>
    </xf>
    <xf numFmtId="0" fontId="26" fillId="0" borderId="0" xfId="0" applyFont="1" applyProtection="1"/>
    <xf numFmtId="0" fontId="26" fillId="4" borderId="8" xfId="0" applyFont="1" applyFill="1" applyBorder="1" applyAlignment="1" applyProtection="1">
      <alignment horizontal="center"/>
    </xf>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7" xfId="0" applyFont="1" applyBorder="1" applyProtection="1"/>
    <xf numFmtId="0" fontId="26" fillId="0" borderId="0" xfId="0" applyFont="1" applyBorder="1" applyAlignment="1" applyProtection="1"/>
    <xf numFmtId="0" fontId="26" fillId="0" borderId="0" xfId="0" applyFont="1" applyFill="1" applyBorder="1" applyAlignment="1" applyProtection="1"/>
    <xf numFmtId="0" fontId="26" fillId="0" borderId="44" xfId="0" applyFont="1" applyFill="1" applyBorder="1" applyAlignment="1" applyProtection="1"/>
    <xf numFmtId="0" fontId="26" fillId="0" borderId="0" xfId="0" applyFont="1" applyFill="1" applyBorder="1" applyAlignment="1" applyProtection="1">
      <alignment horizontal="left"/>
    </xf>
    <xf numFmtId="0" fontId="26" fillId="0" borderId="0" xfId="0" applyFont="1" applyAlignment="1" applyProtection="1">
      <alignment horizontal="right"/>
    </xf>
    <xf numFmtId="0" fontId="26" fillId="0" borderId="4" xfId="0" applyFont="1" applyBorder="1" applyAlignment="1" applyProtection="1"/>
    <xf numFmtId="0" fontId="75" fillId="0" borderId="0" xfId="0" applyFont="1" applyFill="1" applyBorder="1" applyAlignment="1" applyProtection="1">
      <alignment horizontal="left" vertical="top" wrapText="1"/>
    </xf>
    <xf numFmtId="0" fontId="75" fillId="0" borderId="0" xfId="0" applyFont="1" applyFill="1" applyBorder="1" applyAlignment="1" applyProtection="1">
      <alignment horizontal="justify" vertical="top" wrapText="1"/>
    </xf>
    <xf numFmtId="0" fontId="75" fillId="0" borderId="112" xfId="0" quotePrefix="1" applyFont="1" applyFill="1" applyBorder="1" applyAlignment="1" applyProtection="1">
      <alignment horizontal="right" vertical="top"/>
    </xf>
    <xf numFmtId="0" fontId="75" fillId="0" borderId="112" xfId="0" quotePrefix="1" applyFont="1" applyFill="1" applyBorder="1" applyAlignment="1" applyProtection="1">
      <alignment horizontal="right" vertical="center"/>
    </xf>
    <xf numFmtId="0" fontId="75" fillId="0" borderId="112" xfId="0" applyFont="1" applyFill="1" applyBorder="1" applyAlignment="1" applyProtection="1">
      <alignment vertical="center"/>
    </xf>
    <xf numFmtId="0" fontId="75" fillId="0" borderId="0" xfId="0" applyFont="1" applyFill="1" applyBorder="1" applyAlignment="1" applyProtection="1">
      <alignment horizontal="justify"/>
    </xf>
    <xf numFmtId="11" fontId="26" fillId="4" borderId="8" xfId="0" quotePrefix="1" applyNumberFormat="1" applyFont="1" applyFill="1" applyBorder="1" applyAlignment="1" applyProtection="1">
      <alignment horizontal="center"/>
      <protection locked="0"/>
    </xf>
    <xf numFmtId="0" fontId="29" fillId="0" borderId="112" xfId="0" applyFont="1" applyFill="1" applyBorder="1" applyAlignment="1" applyProtection="1">
      <alignment horizontal="right"/>
    </xf>
    <xf numFmtId="0" fontId="26" fillId="0" borderId="44" xfId="0" applyFont="1" applyBorder="1" applyProtection="1"/>
    <xf numFmtId="0" fontId="75" fillId="0" borderId="44" xfId="0" applyFont="1" applyFill="1" applyBorder="1" applyAlignment="1" applyProtection="1">
      <alignment horizontal="left" vertical="top" wrapText="1"/>
    </xf>
    <xf numFmtId="0" fontId="26" fillId="0" borderId="155" xfId="0" applyFont="1" applyFill="1" applyBorder="1" applyProtection="1"/>
    <xf numFmtId="0" fontId="26" fillId="0" borderId="156" xfId="0" applyFont="1" applyFill="1" applyBorder="1" applyProtection="1"/>
    <xf numFmtId="0" fontId="75" fillId="0" borderId="30" xfId="0" applyFont="1" applyFill="1" applyBorder="1" applyAlignment="1" applyProtection="1">
      <alignment horizontal="justify" vertical="top" wrapText="1"/>
    </xf>
    <xf numFmtId="0" fontId="29" fillId="0" borderId="30" xfId="0" applyFont="1" applyFill="1" applyBorder="1" applyAlignment="1">
      <alignment vertical="center" wrapText="1"/>
    </xf>
    <xf numFmtId="0" fontId="26" fillId="0" borderId="0" xfId="0" applyFont="1" applyAlignment="1" applyProtection="1">
      <alignment horizontal="left"/>
    </xf>
    <xf numFmtId="0" fontId="26" fillId="0" borderId="0" xfId="0" applyFont="1" applyBorder="1" applyProtection="1"/>
    <xf numFmtId="0" fontId="26" fillId="0" borderId="0" xfId="0" applyFont="1" applyProtection="1"/>
    <xf numFmtId="0" fontId="26" fillId="3" borderId="2" xfId="0" applyFont="1" applyFill="1" applyBorder="1" applyAlignment="1" applyProtection="1">
      <alignment horizontal="center"/>
    </xf>
    <xf numFmtId="0" fontId="26" fillId="3" borderId="6" xfId="0" applyFont="1" applyFill="1" applyBorder="1" applyAlignment="1" applyProtection="1">
      <alignment horizontal="center"/>
    </xf>
    <xf numFmtId="0" fontId="27" fillId="0" borderId="0" xfId="0" applyFont="1" applyAlignment="1" applyProtection="1">
      <alignment horizontal="justify" wrapText="1"/>
    </xf>
    <xf numFmtId="0" fontId="26" fillId="0" borderId="0" xfId="0" applyFont="1" applyFill="1" applyProtection="1"/>
    <xf numFmtId="0" fontId="25" fillId="4" borderId="9" xfId="0" applyNumberFormat="1" applyFont="1" applyFill="1" applyBorder="1" applyAlignment="1" applyProtection="1">
      <alignment horizontal="center"/>
      <protection locked="0"/>
    </xf>
    <xf numFmtId="11" fontId="25" fillId="0" borderId="0" xfId="0" quotePrefix="1" applyNumberFormat="1" applyFont="1" applyFill="1" applyBorder="1" applyAlignment="1" applyProtection="1">
      <alignment horizontal="right"/>
    </xf>
    <xf numFmtId="0" fontId="26" fillId="0" borderId="0" xfId="0" applyFont="1" applyAlignment="1" applyProtection="1">
      <alignment horizontal="left"/>
    </xf>
    <xf numFmtId="0" fontId="26" fillId="0" borderId="0" xfId="0" applyFont="1" applyProtection="1"/>
    <xf numFmtId="0" fontId="26" fillId="0" borderId="0" xfId="0" applyFont="1" applyAlignment="1" applyProtection="1">
      <alignment horizontal="left" wrapText="1"/>
    </xf>
    <xf numFmtId="0" fontId="29" fillId="0" borderId="0" xfId="0" applyFont="1" applyAlignment="1" applyProtection="1">
      <alignment horizontal="left"/>
    </xf>
    <xf numFmtId="9" fontId="26" fillId="0" borderId="0" xfId="2" applyFont="1" applyFill="1" applyProtection="1"/>
    <xf numFmtId="170" fontId="26" fillId="0" borderId="92" xfId="1" applyNumberFormat="1" applyFont="1" applyBorder="1" applyAlignment="1" applyProtection="1">
      <alignment horizontal="center"/>
      <protection locked="0"/>
    </xf>
    <xf numFmtId="173" fontId="26" fillId="0" borderId="92" xfId="2" applyNumberFormat="1" applyFont="1" applyBorder="1" applyAlignment="1" applyProtection="1">
      <alignment horizontal="center"/>
      <protection locked="0"/>
    </xf>
    <xf numFmtId="0" fontId="26" fillId="0" borderId="94" xfId="0" applyFont="1" applyBorder="1" applyAlignment="1" applyProtection="1">
      <alignment horizontal="center"/>
      <protection locked="0"/>
    </xf>
    <xf numFmtId="0" fontId="26" fillId="0" borderId="0" xfId="0" applyFo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Alignment="1" applyProtection="1"/>
    <xf numFmtId="0" fontId="26" fillId="0" borderId="0" xfId="0" applyFont="1" applyAlignment="1" applyProtection="1">
      <alignment horizontal="justify"/>
    </xf>
    <xf numFmtId="7" fontId="26" fillId="4" borderId="13" xfId="0" applyNumberFormat="1" applyFont="1" applyFill="1" applyBorder="1" applyAlignment="1" applyProtection="1">
      <alignment horizontal="right"/>
      <protection locked="0"/>
    </xf>
    <xf numFmtId="0" fontId="26" fillId="0" borderId="0" xfId="0" applyFont="1" applyBorder="1" applyAlignment="1" applyProtection="1"/>
    <xf numFmtId="7" fontId="26" fillId="0" borderId="22" xfId="0" applyNumberFormat="1" applyFont="1" applyFill="1" applyBorder="1" applyAlignment="1" applyProtection="1">
      <alignment horizontal="right"/>
    </xf>
    <xf numFmtId="7" fontId="28" fillId="4" borderId="11" xfId="0" applyNumberFormat="1" applyFont="1" applyFill="1" applyBorder="1" applyAlignment="1" applyProtection="1">
      <protection locked="0"/>
    </xf>
    <xf numFmtId="0" fontId="26" fillId="4" borderId="10" xfId="0" applyFont="1" applyFill="1" applyBorder="1" applyAlignment="1" applyProtection="1">
      <alignment horizontal="center"/>
      <protection locked="0"/>
    </xf>
    <xf numFmtId="170" fontId="26" fillId="4" borderId="11" xfId="0" applyNumberFormat="1" applyFont="1" applyFill="1" applyBorder="1" applyAlignment="1" applyProtection="1">
      <protection locked="0"/>
    </xf>
    <xf numFmtId="0" fontId="26" fillId="6" borderId="0" xfId="0" applyNumberFormat="1" applyFont="1" applyFill="1" applyAlignment="1" applyProtection="1">
      <alignment horizontal="center" wrapText="1"/>
    </xf>
    <xf numFmtId="0" fontId="26" fillId="0" borderId="0" xfId="0" applyFont="1" applyFill="1" applyBorder="1" applyAlignment="1" applyProtection="1">
      <alignment horizontal="center"/>
    </xf>
    <xf numFmtId="0" fontId="37" fillId="0" borderId="0" xfId="0" applyFont="1" applyAlignment="1" applyProtection="1">
      <alignment horizontal="center" vertical="top" wrapText="1"/>
    </xf>
    <xf numFmtId="0" fontId="26" fillId="0" borderId="0" xfId="0" applyFont="1" applyFill="1" applyAlignment="1" applyProtection="1">
      <alignment horizontal="left"/>
    </xf>
    <xf numFmtId="0" fontId="26" fillId="0" borderId="0" xfId="0" applyFont="1" applyFill="1" applyProtection="1"/>
    <xf numFmtId="0" fontId="26" fillId="0" borderId="0" xfId="0" applyFont="1" applyAlignment="1" applyProtection="1">
      <alignment horizontal="left" wrapText="1"/>
    </xf>
    <xf numFmtId="0" fontId="26" fillId="0" borderId="0" xfId="0" applyFont="1" applyAlignment="1" applyProtection="1">
      <alignment horizontal="justify" wrapText="1"/>
    </xf>
    <xf numFmtId="0" fontId="26" fillId="0" borderId="0" xfId="0" applyFont="1" applyProtection="1"/>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Alignment="1" applyProtection="1">
      <alignment horizontal="left"/>
    </xf>
    <xf numFmtId="0" fontId="26" fillId="0" borderId="0" xfId="0" applyFont="1" applyBorder="1" applyAlignment="1" applyProtection="1">
      <alignment horizontal="left"/>
    </xf>
    <xf numFmtId="0" fontId="26" fillId="0" borderId="0" xfId="0" applyFont="1" applyAlignment="1" applyProtection="1"/>
    <xf numFmtId="0" fontId="26" fillId="3" borderId="10" xfId="0" applyFont="1" applyFill="1" applyBorder="1" applyAlignment="1" applyProtection="1">
      <alignment horizontal="center" wrapText="1"/>
    </xf>
    <xf numFmtId="0" fontId="26" fillId="0" borderId="0" xfId="0" applyFont="1" applyBorder="1" applyAlignment="1" applyProtection="1"/>
    <xf numFmtId="0" fontId="26"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Fill="1" applyAlignment="1" applyProtection="1">
      <alignment horizontal="left"/>
    </xf>
    <xf numFmtId="0" fontId="26" fillId="0" borderId="0" xfId="0" applyFont="1" applyFill="1" applyAlignment="1" applyProtection="1">
      <alignment horizontal="left" wrapText="1"/>
    </xf>
    <xf numFmtId="0" fontId="26" fillId="0" borderId="0" xfId="0" applyFont="1" applyFill="1" applyProtection="1"/>
    <xf numFmtId="0" fontId="26" fillId="0" borderId="0" xfId="0" applyFont="1" applyAlignment="1" applyProtection="1">
      <alignment wrapText="1"/>
    </xf>
    <xf numFmtId="2" fontId="26" fillId="0" borderId="0" xfId="0" applyNumberFormat="1" applyFont="1"/>
    <xf numFmtId="0" fontId="37" fillId="0" borderId="0" xfId="0" applyFont="1" applyAlignment="1" applyProtection="1">
      <alignment vertical="top" wrapText="1"/>
    </xf>
    <xf numFmtId="2" fontId="26" fillId="0" borderId="0" xfId="0" applyNumberFormat="1" applyFont="1" applyFill="1" applyAlignment="1" applyProtection="1">
      <alignment horizontal="center"/>
    </xf>
    <xf numFmtId="0" fontId="26" fillId="0" borderId="108" xfId="0" applyFont="1" applyFill="1" applyBorder="1" applyAlignment="1" applyProtection="1">
      <alignment horizontal="center"/>
    </xf>
    <xf numFmtId="2" fontId="26" fillId="0" borderId="109" xfId="0" applyNumberFormat="1" applyFont="1" applyFill="1" applyBorder="1" applyAlignment="1" applyProtection="1">
      <alignment horizontal="center"/>
    </xf>
    <xf numFmtId="0" fontId="26" fillId="0" borderId="157" xfId="0" applyFont="1" applyFill="1" applyBorder="1" applyAlignment="1" applyProtection="1">
      <alignment horizontal="center"/>
    </xf>
    <xf numFmtId="2" fontId="26" fillId="0" borderId="158" xfId="0" applyNumberFormat="1" applyFont="1" applyFill="1" applyBorder="1" applyAlignment="1" applyProtection="1">
      <alignment horizontal="center"/>
    </xf>
    <xf numFmtId="0" fontId="26" fillId="0" borderId="159" xfId="0" applyFont="1" applyFill="1" applyBorder="1" applyAlignment="1" applyProtection="1">
      <alignment horizontal="center"/>
    </xf>
    <xf numFmtId="2" fontId="26" fillId="0" borderId="160" xfId="0" applyNumberFormat="1" applyFont="1" applyFill="1" applyBorder="1" applyAlignment="1" applyProtection="1">
      <alignment horizontal="center"/>
    </xf>
    <xf numFmtId="0" fontId="26" fillId="4" borderId="10" xfId="0" applyFont="1" applyFill="1" applyBorder="1" applyAlignment="1" applyProtection="1">
      <alignment horizontal="center"/>
      <protection locked="0"/>
    </xf>
    <xf numFmtId="7" fontId="26" fillId="0" borderId="0" xfId="0" applyNumberFormat="1" applyFont="1" applyBorder="1" applyAlignment="1">
      <alignment horizontal="center"/>
    </xf>
    <xf numFmtId="0" fontId="26" fillId="0" borderId="0" xfId="0" applyFont="1" applyAlignment="1" applyProtection="1">
      <alignment horizontal="center"/>
    </xf>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Fill="1" applyAlignment="1" applyProtection="1">
      <alignment horizontal="center"/>
    </xf>
    <xf numFmtId="0" fontId="26" fillId="4" borderId="8" xfId="0" applyFont="1" applyFill="1" applyBorder="1" applyAlignment="1" applyProtection="1">
      <alignment wrapText="1"/>
      <protection locked="0"/>
    </xf>
    <xf numFmtId="0" fontId="26" fillId="0" borderId="0" xfId="0" applyFont="1" applyAlignment="1" applyProtection="1">
      <alignment horizontal="justify" wrapText="1"/>
    </xf>
    <xf numFmtId="0" fontId="26" fillId="0" borderId="0" xfId="0" applyFont="1" applyProtection="1"/>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0" xfId="0" applyFont="1" applyAlignment="1" applyProtection="1"/>
    <xf numFmtId="0" fontId="26" fillId="0" borderId="0" xfId="0" applyFont="1" applyFill="1" applyAlignment="1" applyProtection="1">
      <alignment horizontal="center"/>
    </xf>
    <xf numFmtId="0" fontId="26" fillId="0" borderId="0" xfId="0" applyFont="1" applyFill="1" applyBorder="1" applyAlignment="1" applyProtection="1"/>
    <xf numFmtId="0" fontId="26" fillId="0" borderId="0" xfId="0" applyFont="1" applyAlignment="1" applyProtection="1">
      <alignment horizontal="right"/>
    </xf>
    <xf numFmtId="0" fontId="26" fillId="0" borderId="0" xfId="0" applyFont="1" applyFill="1" applyAlignment="1" applyProtection="1">
      <alignment horizontal="left"/>
    </xf>
    <xf numFmtId="0" fontId="26" fillId="4" borderId="8" xfId="0" applyFont="1" applyFill="1" applyBorder="1" applyAlignment="1" applyProtection="1">
      <alignment wrapText="1"/>
      <protection locked="0"/>
    </xf>
    <xf numFmtId="0" fontId="26" fillId="8" borderId="0" xfId="0" quotePrefix="1" applyFont="1" applyFill="1" applyAlignment="1" applyProtection="1">
      <alignment horizontal="center"/>
    </xf>
    <xf numFmtId="0" fontId="26" fillId="8" borderId="0" xfId="0" quotePrefix="1" applyFont="1" applyFill="1" applyAlignment="1">
      <alignment horizontal="center"/>
    </xf>
    <xf numFmtId="0" fontId="26" fillId="0" borderId="0" xfId="0" applyFont="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4" borderId="8" xfId="0" applyFont="1" applyFill="1" applyBorder="1" applyAlignment="1" applyProtection="1">
      <alignment horizontal="center" wrapText="1"/>
      <protection locked="0"/>
    </xf>
    <xf numFmtId="0" fontId="26" fillId="0" borderId="0" xfId="0" applyFont="1" applyProtection="1"/>
    <xf numFmtId="0" fontId="26" fillId="0" borderId="0" xfId="0" applyFont="1" applyAlignment="1" applyProtection="1">
      <alignment horizontal="justify" wrapText="1"/>
    </xf>
    <xf numFmtId="0" fontId="26" fillId="0" borderId="0" xfId="0" applyFont="1" applyAlignment="1" applyProtection="1"/>
    <xf numFmtId="0" fontId="26" fillId="0" borderId="0" xfId="0" applyFont="1" applyAlignment="1" applyProtection="1">
      <alignment horizontal="right"/>
    </xf>
    <xf numFmtId="0" fontId="26" fillId="0" borderId="0" xfId="0" applyFont="1" applyAlignment="1" applyProtection="1">
      <alignment wrapText="1"/>
    </xf>
    <xf numFmtId="0" fontId="26" fillId="4" borderId="8" xfId="0" applyFont="1" applyFill="1" applyBorder="1" applyAlignment="1" applyProtection="1">
      <alignment wrapText="1"/>
      <protection locked="0"/>
    </xf>
    <xf numFmtId="0" fontId="26" fillId="3" borderId="23" xfId="0" applyFont="1" applyFill="1" applyBorder="1" applyAlignment="1" applyProtection="1">
      <alignment horizontal="center"/>
    </xf>
    <xf numFmtId="0" fontId="26" fillId="3" borderId="13" xfId="0" applyFont="1" applyFill="1" applyBorder="1" applyAlignment="1" applyProtection="1">
      <alignment horizontal="center"/>
    </xf>
    <xf numFmtId="2" fontId="26" fillId="0" borderId="0" xfId="0" applyNumberFormat="1" applyFont="1" applyAlignment="1" applyProtection="1">
      <alignment horizontal="center" wrapText="1"/>
    </xf>
    <xf numFmtId="2" fontId="26" fillId="3" borderId="164" xfId="0" applyNumberFormat="1" applyFont="1" applyFill="1" applyBorder="1" applyAlignment="1" applyProtection="1">
      <alignment horizontal="center"/>
    </xf>
    <xf numFmtId="0" fontId="26" fillId="3" borderId="165" xfId="0" applyFont="1" applyFill="1" applyBorder="1" applyAlignment="1" applyProtection="1">
      <alignment horizontal="center"/>
    </xf>
    <xf numFmtId="0" fontId="26" fillId="3" borderId="104" xfId="0" applyFont="1" applyFill="1" applyBorder="1" applyAlignment="1" applyProtection="1">
      <alignment horizontal="center"/>
    </xf>
    <xf numFmtId="0" fontId="26" fillId="0" borderId="146" xfId="0" applyFont="1" applyBorder="1" applyAlignment="1" applyProtection="1">
      <alignment horizontal="center"/>
    </xf>
    <xf numFmtId="0" fontId="26" fillId="0" borderId="151" xfId="0" applyFont="1" applyBorder="1" applyAlignment="1" applyProtection="1">
      <alignment horizontal="center"/>
    </xf>
    <xf numFmtId="0" fontId="26" fillId="0" borderId="152" xfId="0" applyFont="1" applyFill="1" applyBorder="1" applyAlignment="1" applyProtection="1">
      <alignment horizontal="center"/>
    </xf>
    <xf numFmtId="0" fontId="26" fillId="0" borderId="112" xfId="0" applyFont="1" applyFill="1" applyBorder="1" applyAlignment="1" applyProtection="1">
      <alignment vertical="center"/>
    </xf>
    <xf numFmtId="0" fontId="26" fillId="0" borderId="44" xfId="0" applyFont="1" applyFill="1" applyBorder="1" applyAlignment="1" applyProtection="1">
      <alignment horizontal="center"/>
    </xf>
    <xf numFmtId="0" fontId="26" fillId="0" borderId="112" xfId="0" applyFont="1" applyFill="1" applyBorder="1" applyAlignment="1" applyProtection="1">
      <alignment horizontal="center"/>
    </xf>
    <xf numFmtId="0" fontId="26" fillId="0" borderId="155" xfId="0" applyFont="1" applyBorder="1" applyAlignment="1" applyProtection="1">
      <alignment horizontal="center"/>
    </xf>
    <xf numFmtId="0" fontId="26" fillId="0" borderId="156" xfId="0" applyFont="1" applyFill="1" applyBorder="1" applyAlignment="1" applyProtection="1">
      <alignment horizontal="center"/>
    </xf>
    <xf numFmtId="0" fontId="25" fillId="3" borderId="22" xfId="0" applyFont="1" applyFill="1" applyBorder="1" applyAlignment="1" applyProtection="1">
      <alignment horizontal="center"/>
    </xf>
    <xf numFmtId="0" fontId="25" fillId="3" borderId="13" xfId="0" applyFont="1" applyFill="1" applyBorder="1" applyAlignment="1" applyProtection="1">
      <alignment horizontal="center"/>
    </xf>
    <xf numFmtId="170" fontId="25" fillId="3" borderId="13" xfId="1" applyNumberFormat="1" applyFont="1" applyFill="1" applyBorder="1" applyAlignment="1" applyProtection="1">
      <alignment horizontal="center"/>
    </xf>
    <xf numFmtId="0" fontId="28" fillId="0" borderId="13" xfId="0" applyFont="1" applyBorder="1" applyAlignment="1" applyProtection="1">
      <alignment wrapText="1"/>
    </xf>
    <xf numFmtId="0" fontId="25" fillId="0" borderId="13" xfId="0" applyFont="1" applyBorder="1" applyAlignment="1" applyProtection="1">
      <alignment wrapText="1"/>
    </xf>
    <xf numFmtId="0" fontId="28" fillId="3" borderId="11" xfId="0" applyFont="1" applyFill="1" applyBorder="1" applyAlignment="1" applyProtection="1">
      <alignment wrapText="1"/>
    </xf>
    <xf numFmtId="14" fontId="26" fillId="0" borderId="0" xfId="0" applyNumberFormat="1" applyFont="1" applyFill="1" applyProtection="1"/>
    <xf numFmtId="7" fontId="26" fillId="0" borderId="13" xfId="0" applyNumberFormat="1" applyFont="1" applyFill="1" applyBorder="1" applyAlignment="1" applyProtection="1">
      <alignment horizontal="left" indent="1"/>
    </xf>
    <xf numFmtId="0" fontId="26" fillId="0" borderId="0" xfId="0" applyFont="1" applyAlignment="1" applyProtection="1">
      <alignment horizontal="left"/>
    </xf>
    <xf numFmtId="0" fontId="26" fillId="4" borderId="8" xfId="0" applyFont="1" applyFill="1" applyBorder="1" applyAlignment="1" applyProtection="1">
      <alignment horizontal="center" wrapText="1"/>
      <protection locked="0"/>
    </xf>
    <xf numFmtId="2" fontId="26" fillId="4" borderId="10" xfId="0" applyNumberFormat="1" applyFont="1" applyFill="1" applyBorder="1" applyAlignment="1" applyProtection="1">
      <alignment horizontal="center" wrapText="1"/>
      <protection locked="0"/>
    </xf>
    <xf numFmtId="0" fontId="26" fillId="0" borderId="0" xfId="0" applyFont="1" applyAlignment="1" applyProtection="1">
      <alignment horizontal="left"/>
    </xf>
    <xf numFmtId="169" fontId="26" fillId="4" borderId="8" xfId="0" applyNumberFormat="1" applyFont="1" applyFill="1" applyBorder="1" applyAlignment="1" applyProtection="1">
      <alignment horizontal="center"/>
      <protection locked="0"/>
    </xf>
    <xf numFmtId="3" fontId="26" fillId="4" borderId="8" xfId="0" applyNumberFormat="1" applyFont="1" applyFill="1" applyBorder="1" applyAlignment="1" applyProtection="1">
      <alignment horizontal="center"/>
      <protection locked="0"/>
    </xf>
    <xf numFmtId="0" fontId="26" fillId="0" borderId="0" xfId="0" applyFont="1" applyBorder="1" applyAlignment="1" applyProtection="1">
      <alignment horizontal="left"/>
    </xf>
    <xf numFmtId="0" fontId="26" fillId="0" borderId="0" xfId="0" applyFont="1" applyAlignment="1" applyProtection="1">
      <alignment horizontal="center"/>
    </xf>
    <xf numFmtId="0" fontId="26" fillId="0" borderId="0" xfId="0" applyFont="1" applyBorder="1" applyProtection="1"/>
    <xf numFmtId="0" fontId="26" fillId="0" borderId="0" xfId="0" applyFont="1" applyBorder="1" applyAlignment="1" applyProtection="1">
      <alignment horizontal="center" wrapText="1"/>
    </xf>
    <xf numFmtId="44" fontId="26" fillId="4" borderId="8" xfId="0" applyNumberFormat="1" applyFont="1" applyFill="1" applyBorder="1" applyAlignment="1" applyProtection="1">
      <protection locked="0"/>
    </xf>
    <xf numFmtId="0" fontId="26" fillId="4" borderId="8" xfId="0" applyFont="1" applyFill="1" applyBorder="1" applyAlignment="1" applyProtection="1">
      <alignment horizontal="center" wrapText="1"/>
      <protection locked="0"/>
    </xf>
    <xf numFmtId="0" fontId="26" fillId="0" borderId="7" xfId="0" applyFont="1" applyBorder="1" applyProtection="1"/>
    <xf numFmtId="0" fontId="26" fillId="0" borderId="0" xfId="0" applyFont="1" applyProtection="1"/>
    <xf numFmtId="0" fontId="26" fillId="0" borderId="7" xfId="0" applyFont="1" applyBorder="1" applyAlignment="1" applyProtection="1">
      <alignment horizontal="left"/>
    </xf>
    <xf numFmtId="0" fontId="26" fillId="4" borderId="8" xfId="0" applyFont="1" applyFill="1" applyBorder="1" applyAlignment="1" applyProtection="1">
      <alignment horizontal="left"/>
      <protection locked="0"/>
    </xf>
    <xf numFmtId="0" fontId="26" fillId="0" borderId="0" xfId="0" applyFont="1" applyFill="1" applyBorder="1" applyAlignment="1" applyProtection="1">
      <alignment horizontal="center"/>
    </xf>
    <xf numFmtId="0" fontId="26" fillId="4" borderId="8" xfId="0" applyFont="1" applyFill="1" applyBorder="1" applyAlignment="1" applyProtection="1">
      <alignment horizontal="center"/>
      <protection locked="0"/>
    </xf>
    <xf numFmtId="0" fontId="26" fillId="0" borderId="0" xfId="0" applyFont="1" applyBorder="1" applyAlignment="1" applyProtection="1">
      <alignment horizontal="left" wrapText="1" indent="2"/>
    </xf>
    <xf numFmtId="174" fontId="26" fillId="4" borderId="8" xfId="0" applyNumberFormat="1" applyFont="1" applyFill="1" applyBorder="1" applyAlignment="1" applyProtection="1">
      <alignment horizontal="left"/>
      <protection locked="0"/>
    </xf>
    <xf numFmtId="0" fontId="26" fillId="3" borderId="3" xfId="0" applyFont="1" applyFill="1" applyBorder="1" applyAlignment="1" applyProtection="1">
      <alignment horizontal="center"/>
    </xf>
    <xf numFmtId="0" fontId="26" fillId="3" borderId="0" xfId="0" applyFont="1" applyFill="1" applyBorder="1" applyAlignment="1" applyProtection="1">
      <alignment horizontal="center"/>
    </xf>
    <xf numFmtId="0" fontId="26" fillId="3" borderId="4" xfId="0" applyFont="1" applyFill="1" applyBorder="1" applyAlignment="1" applyProtection="1">
      <alignment horizontal="center"/>
    </xf>
    <xf numFmtId="0" fontId="26" fillId="3" borderId="1" xfId="0" applyFont="1" applyFill="1" applyBorder="1" applyAlignment="1" applyProtection="1">
      <alignment horizontal="center"/>
    </xf>
    <xf numFmtId="0" fontId="26" fillId="3" borderId="7" xfId="0" applyFont="1" applyFill="1" applyBorder="1" applyAlignment="1" applyProtection="1">
      <alignment horizontal="center"/>
    </xf>
    <xf numFmtId="0" fontId="26" fillId="3" borderId="2" xfId="0" applyFont="1" applyFill="1" applyBorder="1" applyAlignment="1" applyProtection="1">
      <alignment horizontal="center"/>
    </xf>
    <xf numFmtId="0" fontId="26" fillId="4" borderId="8" xfId="0" applyFont="1" applyFill="1" applyBorder="1" applyAlignment="1" applyProtection="1">
      <alignment horizontal="center"/>
    </xf>
    <xf numFmtId="0" fontId="26" fillId="4" borderId="8" xfId="0" applyFont="1" applyFill="1" applyBorder="1" applyAlignment="1" applyProtection="1">
      <alignment horizontal="left"/>
    </xf>
    <xf numFmtId="0" fontId="26" fillId="4" borderId="9" xfId="0" applyFont="1" applyFill="1" applyBorder="1" applyAlignment="1" applyProtection="1">
      <alignment horizontal="left"/>
    </xf>
    <xf numFmtId="167" fontId="26" fillId="0" borderId="7" xfId="0" applyNumberFormat="1" applyFont="1" applyFill="1" applyBorder="1" applyAlignment="1" applyProtection="1">
      <alignment horizontal="center"/>
    </xf>
    <xf numFmtId="167" fontId="26" fillId="4" borderId="10" xfId="0" applyNumberFormat="1" applyFont="1" applyFill="1" applyBorder="1" applyAlignment="1" applyProtection="1">
      <alignment horizontal="center"/>
    </xf>
    <xf numFmtId="167" fontId="26" fillId="4" borderId="12" xfId="0" applyNumberFormat="1" applyFont="1" applyFill="1" applyBorder="1" applyAlignment="1" applyProtection="1">
      <alignment horizontal="center"/>
    </xf>
    <xf numFmtId="167" fontId="26" fillId="4" borderId="9" xfId="0" applyNumberFormat="1" applyFont="1" applyFill="1" applyBorder="1" applyAlignment="1" applyProtection="1">
      <alignment horizontal="center"/>
    </xf>
    <xf numFmtId="0" fontId="26" fillId="4" borderId="10" xfId="0" applyFont="1" applyFill="1" applyBorder="1" applyAlignment="1" applyProtection="1">
      <alignment horizontal="left"/>
    </xf>
    <xf numFmtId="0" fontId="29" fillId="4" borderId="9" xfId="0" applyFont="1" applyFill="1" applyBorder="1" applyAlignment="1" applyProtection="1">
      <alignment horizontal="left"/>
    </xf>
    <xf numFmtId="0" fontId="29" fillId="4" borderId="12" xfId="0" applyFont="1" applyFill="1" applyBorder="1" applyAlignment="1" applyProtection="1">
      <alignment horizontal="left"/>
    </xf>
    <xf numFmtId="0" fontId="26" fillId="4" borderId="12" xfId="0" applyFont="1" applyFill="1" applyBorder="1" applyAlignment="1" applyProtection="1">
      <alignment horizontal="left"/>
    </xf>
    <xf numFmtId="0" fontId="26" fillId="46" borderId="0" xfId="0" applyFont="1" applyFill="1" applyBorder="1" applyAlignment="1" applyProtection="1">
      <alignment horizontal="left"/>
    </xf>
    <xf numFmtId="0" fontId="26" fillId="46" borderId="4" xfId="0" applyFont="1" applyFill="1" applyBorder="1" applyAlignment="1" applyProtection="1">
      <alignment horizontal="left"/>
    </xf>
    <xf numFmtId="0" fontId="26" fillId="3" borderId="5" xfId="0" applyFont="1" applyFill="1" applyBorder="1" applyAlignment="1" applyProtection="1">
      <alignment horizontal="center"/>
    </xf>
    <xf numFmtId="0" fontId="26" fillId="3" borderId="6" xfId="0" applyFont="1" applyFill="1" applyBorder="1" applyAlignment="1" applyProtection="1">
      <alignment horizontal="center"/>
    </xf>
    <xf numFmtId="0" fontId="26" fillId="4" borderId="8" xfId="0" applyFont="1" applyFill="1" applyBorder="1" applyAlignment="1" applyProtection="1">
      <alignment horizontal="center" wrapText="1"/>
    </xf>
    <xf numFmtId="0" fontId="28" fillId="0" borderId="0" xfId="0" applyFont="1" applyBorder="1" applyAlignment="1" applyProtection="1">
      <alignment horizontal="left" vertical="top" wrapText="1"/>
    </xf>
    <xf numFmtId="174" fontId="26" fillId="4" borderId="8" xfId="0" applyNumberFormat="1" applyFont="1" applyFill="1" applyBorder="1" applyAlignment="1" applyProtection="1">
      <alignment horizontal="left"/>
    </xf>
    <xf numFmtId="0" fontId="26" fillId="3" borderId="8" xfId="0" applyFont="1" applyFill="1" applyBorder="1" applyAlignment="1" applyProtection="1">
      <alignment horizontal="center"/>
    </xf>
    <xf numFmtId="167" fontId="26" fillId="3" borderId="25" xfId="0" applyNumberFormat="1" applyFont="1" applyFill="1" applyBorder="1" applyAlignment="1" applyProtection="1">
      <alignment horizontal="center"/>
    </xf>
    <xf numFmtId="167" fontId="26" fillId="3" borderId="26" xfId="0" applyNumberFormat="1" applyFont="1" applyFill="1" applyBorder="1" applyAlignment="1" applyProtection="1">
      <alignment horizontal="center"/>
    </xf>
    <xf numFmtId="167" fontId="26" fillId="3" borderId="19" xfId="0" applyNumberFormat="1" applyFont="1" applyFill="1" applyBorder="1" applyAlignment="1" applyProtection="1">
      <alignment horizontal="center"/>
    </xf>
    <xf numFmtId="167" fontId="26" fillId="4" borderId="10" xfId="2" applyNumberFormat="1" applyFont="1" applyFill="1" applyBorder="1" applyAlignment="1" applyProtection="1">
      <alignment horizontal="center"/>
    </xf>
    <xf numFmtId="167" fontId="26" fillId="4" borderId="9" xfId="2" applyNumberFormat="1" applyFont="1" applyFill="1" applyBorder="1" applyAlignment="1" applyProtection="1">
      <alignment horizontal="center"/>
    </xf>
    <xf numFmtId="167" fontId="26" fillId="4" borderId="12" xfId="2" applyNumberFormat="1" applyFont="1" applyFill="1" applyBorder="1" applyAlignment="1" applyProtection="1">
      <alignment horizontal="center"/>
    </xf>
    <xf numFmtId="0" fontId="26" fillId="4" borderId="10" xfId="0" applyFont="1" applyFill="1" applyBorder="1" applyAlignment="1" applyProtection="1">
      <alignment horizontal="center"/>
    </xf>
    <xf numFmtId="0" fontId="26" fillId="4" borderId="9" xfId="0" applyFont="1" applyFill="1" applyBorder="1" applyAlignment="1" applyProtection="1">
      <alignment horizontal="center"/>
    </xf>
    <xf numFmtId="0" fontId="26" fillId="4" borderId="12" xfId="0" applyFont="1" applyFill="1" applyBorder="1" applyAlignment="1" applyProtection="1">
      <alignment horizontal="center"/>
    </xf>
    <xf numFmtId="0" fontId="26" fillId="3" borderId="10" xfId="0" applyFont="1" applyFill="1" applyBorder="1" applyAlignment="1" applyProtection="1">
      <alignment horizontal="justify" vertical="center" wrapText="1"/>
    </xf>
    <xf numFmtId="0" fontId="26" fillId="3" borderId="9" xfId="0" applyFont="1" applyFill="1" applyBorder="1" applyAlignment="1" applyProtection="1">
      <alignment horizontal="justify" vertical="center" wrapText="1"/>
    </xf>
    <xf numFmtId="0" fontId="26" fillId="3" borderId="12" xfId="0" applyFont="1" applyFill="1" applyBorder="1" applyAlignment="1" applyProtection="1">
      <alignment horizontal="justify" vertical="center" wrapText="1"/>
    </xf>
    <xf numFmtId="0" fontId="26" fillId="45" borderId="10" xfId="0" applyFont="1" applyFill="1" applyBorder="1" applyAlignment="1" applyProtection="1">
      <alignment horizontal="justify" vertical="center" wrapText="1"/>
    </xf>
    <xf numFmtId="0" fontId="26" fillId="45" borderId="9" xfId="0" applyFont="1" applyFill="1" applyBorder="1" applyAlignment="1" applyProtection="1">
      <alignment horizontal="justify" vertical="center" wrapText="1"/>
    </xf>
    <xf numFmtId="0" fontId="26" fillId="45" borderId="12" xfId="0" applyFont="1" applyFill="1" applyBorder="1" applyAlignment="1" applyProtection="1">
      <alignment horizontal="justify" vertical="center" wrapText="1"/>
    </xf>
    <xf numFmtId="0" fontId="26" fillId="4" borderId="9" xfId="0" applyFont="1" applyFill="1" applyBorder="1" applyAlignment="1" applyProtection="1">
      <alignment horizontal="left"/>
      <protection locked="0"/>
    </xf>
    <xf numFmtId="0" fontId="26" fillId="4" borderId="9" xfId="0" applyFont="1" applyFill="1" applyBorder="1" applyAlignment="1" applyProtection="1">
      <alignment horizontal="center"/>
      <protection locked="0"/>
    </xf>
    <xf numFmtId="0" fontId="26" fillId="0" borderId="0" xfId="0" applyFont="1" applyFill="1" applyBorder="1" applyAlignment="1" applyProtection="1">
      <alignment horizontal="center" wrapText="1"/>
    </xf>
    <xf numFmtId="0" fontId="37" fillId="0" borderId="0" xfId="0" applyFont="1" applyAlignment="1" applyProtection="1">
      <alignment horizontal="center"/>
    </xf>
    <xf numFmtId="0" fontId="37" fillId="0" borderId="4" xfId="0" applyFont="1" applyBorder="1" applyAlignment="1" applyProtection="1">
      <alignment horizontal="center"/>
    </xf>
    <xf numFmtId="0" fontId="26" fillId="4" borderId="9" xfId="0" applyFont="1" applyFill="1" applyBorder="1" applyAlignment="1" applyProtection="1">
      <alignment horizontal="center" wrapText="1"/>
      <protection locked="0"/>
    </xf>
    <xf numFmtId="0" fontId="26" fillId="0" borderId="0" xfId="0" applyFont="1" applyAlignment="1" applyProtection="1">
      <alignment horizontal="justify" wrapText="1"/>
    </xf>
    <xf numFmtId="0" fontId="26" fillId="4" borderId="10" xfId="0" applyFont="1" applyFill="1" applyBorder="1" applyAlignment="1" applyProtection="1">
      <alignment horizontal="center"/>
      <protection locked="0"/>
    </xf>
    <xf numFmtId="0" fontId="26" fillId="4" borderId="12" xfId="0" applyFont="1" applyFill="1" applyBorder="1" applyAlignment="1" applyProtection="1">
      <alignment horizontal="center"/>
      <protection locked="0"/>
    </xf>
    <xf numFmtId="0" fontId="26" fillId="4" borderId="10" xfId="0" applyFont="1" applyFill="1" applyBorder="1" applyAlignment="1" applyProtection="1">
      <alignment horizontal="left"/>
      <protection locked="0"/>
    </xf>
    <xf numFmtId="0" fontId="26" fillId="4" borderId="12" xfId="0" applyFont="1" applyFill="1" applyBorder="1" applyAlignment="1" applyProtection="1">
      <alignment horizontal="left"/>
      <protection locked="0"/>
    </xf>
    <xf numFmtId="167" fontId="26" fillId="4" borderId="10" xfId="2" applyNumberFormat="1" applyFont="1" applyFill="1" applyBorder="1" applyAlignment="1" applyProtection="1">
      <alignment horizontal="center"/>
      <protection locked="0"/>
    </xf>
    <xf numFmtId="167" fontId="26" fillId="4" borderId="9" xfId="2" applyNumberFormat="1" applyFont="1" applyFill="1" applyBorder="1" applyAlignment="1" applyProtection="1">
      <alignment horizontal="center"/>
      <protection locked="0"/>
    </xf>
    <xf numFmtId="167" fontId="26" fillId="4" borderId="12" xfId="2" applyNumberFormat="1" applyFont="1" applyFill="1" applyBorder="1" applyAlignment="1" applyProtection="1">
      <alignment horizontal="center"/>
      <protection locked="0"/>
    </xf>
    <xf numFmtId="167" fontId="26" fillId="4" borderId="10" xfId="0" applyNumberFormat="1" applyFont="1" applyFill="1" applyBorder="1" applyAlignment="1" applyProtection="1">
      <alignment horizontal="center"/>
      <protection locked="0"/>
    </xf>
    <xf numFmtId="167" fontId="26" fillId="4" borderId="9" xfId="0" applyNumberFormat="1" applyFont="1" applyFill="1" applyBorder="1" applyAlignment="1" applyProtection="1">
      <alignment horizontal="center"/>
      <protection locked="0"/>
    </xf>
    <xf numFmtId="167" fontId="26" fillId="4" borderId="12" xfId="0" applyNumberFormat="1" applyFont="1" applyFill="1" applyBorder="1" applyAlignment="1" applyProtection="1">
      <alignment horizontal="center"/>
      <protection locked="0"/>
    </xf>
    <xf numFmtId="43" fontId="26" fillId="0" borderId="8" xfId="81" applyFont="1" applyBorder="1" applyAlignment="1" applyProtection="1">
      <alignment horizontal="center"/>
    </xf>
    <xf numFmtId="0" fontId="26" fillId="0" borderId="0" xfId="0" applyFont="1" applyAlignment="1" applyProtection="1">
      <alignment horizontal="left" wrapText="1"/>
    </xf>
    <xf numFmtId="0" fontId="29" fillId="4" borderId="9" xfId="0" applyFont="1" applyFill="1" applyBorder="1" applyAlignment="1" applyProtection="1">
      <alignment horizontal="left"/>
      <protection locked="0"/>
    </xf>
    <xf numFmtId="0" fontId="29" fillId="4" borderId="12" xfId="0" applyFont="1" applyFill="1" applyBorder="1" applyAlignment="1" applyProtection="1">
      <alignment horizontal="left"/>
      <protection locked="0"/>
    </xf>
    <xf numFmtId="0" fontId="26" fillId="0" borderId="8" xfId="0" applyFont="1" applyFill="1" applyBorder="1" applyAlignment="1" applyProtection="1">
      <alignment horizontal="left"/>
    </xf>
    <xf numFmtId="0" fontId="30" fillId="0" borderId="0" xfId="0" applyFont="1" applyAlignment="1" applyProtection="1">
      <alignment horizontal="center" wrapText="1"/>
    </xf>
    <xf numFmtId="0" fontId="56" fillId="0" borderId="0" xfId="0" applyFont="1" applyAlignment="1" applyProtection="1">
      <alignment horizontal="center" vertical="center" wrapText="1"/>
    </xf>
    <xf numFmtId="0" fontId="26" fillId="4" borderId="8" xfId="0" applyFont="1" applyFill="1" applyBorder="1" applyAlignment="1" applyProtection="1">
      <alignment horizontal="left" wrapText="1"/>
      <protection locked="0"/>
    </xf>
    <xf numFmtId="0" fontId="26" fillId="4" borderId="8" xfId="0" applyFont="1" applyFill="1" applyBorder="1" applyAlignment="1" applyProtection="1">
      <protection locked="0"/>
    </xf>
    <xf numFmtId="174" fontId="26" fillId="4" borderId="8" xfId="0" applyNumberFormat="1" applyFont="1" applyFill="1" applyBorder="1" applyAlignment="1" applyProtection="1">
      <alignment horizontal="center"/>
      <protection locked="0"/>
    </xf>
    <xf numFmtId="0" fontId="26" fillId="0" borderId="0" xfId="0" quotePrefix="1" applyFont="1" applyFill="1" applyBorder="1" applyAlignment="1" applyProtection="1">
      <alignment horizontal="right"/>
    </xf>
    <xf numFmtId="0" fontId="58" fillId="0" borderId="0" xfId="0" applyFont="1" applyAlignment="1" applyProtection="1">
      <alignment horizontal="center" vertical="center" wrapText="1"/>
    </xf>
    <xf numFmtId="0" fontId="26" fillId="0" borderId="0" xfId="0" applyFont="1" applyBorder="1" applyAlignment="1" applyProtection="1">
      <alignment horizontal="justify" wrapText="1"/>
    </xf>
    <xf numFmtId="0" fontId="54" fillId="0" borderId="0" xfId="0" applyFont="1" applyAlignment="1" applyProtection="1">
      <alignment horizontal="center" vertical="center" wrapText="1"/>
    </xf>
    <xf numFmtId="0" fontId="26" fillId="0" borderId="0" xfId="0" applyFont="1" applyBorder="1" applyAlignment="1" applyProtection="1">
      <alignment horizontal="justify" vertical="top" wrapText="1"/>
    </xf>
    <xf numFmtId="0" fontId="26" fillId="8" borderId="0" xfId="0" quotePrefix="1" applyFont="1" applyFill="1" applyBorder="1" applyAlignment="1" applyProtection="1">
      <alignment horizontal="center" wrapText="1"/>
    </xf>
    <xf numFmtId="0" fontId="26" fillId="8" borderId="0" xfId="0" applyFont="1" applyFill="1" applyBorder="1" applyAlignment="1" applyProtection="1">
      <alignment horizontal="center" wrapText="1"/>
    </xf>
    <xf numFmtId="0" fontId="27" fillId="0" borderId="0" xfId="0" applyFont="1" applyBorder="1" applyAlignment="1" applyProtection="1">
      <alignment horizontal="justify" wrapText="1"/>
    </xf>
    <xf numFmtId="0" fontId="26" fillId="0" borderId="0" xfId="0" applyFont="1" applyFill="1" applyAlignment="1" applyProtection="1">
      <alignment horizontal="center"/>
    </xf>
    <xf numFmtId="0" fontId="27" fillId="0" borderId="0" xfId="0" applyFont="1" applyAlignment="1" applyProtection="1">
      <alignment horizontal="justify" wrapText="1"/>
    </xf>
    <xf numFmtId="0" fontId="26" fillId="3" borderId="22" xfId="0" applyFont="1" applyFill="1" applyBorder="1" applyAlignment="1" applyProtection="1">
      <alignment horizontal="center" wrapText="1"/>
    </xf>
    <xf numFmtId="0" fontId="26" fillId="3" borderId="13" xfId="0" applyFont="1" applyFill="1" applyBorder="1" applyAlignment="1" applyProtection="1">
      <alignment horizontal="center" wrapText="1"/>
    </xf>
    <xf numFmtId="171" fontId="26" fillId="6" borderId="10" xfId="0" applyNumberFormat="1" applyFont="1" applyFill="1" applyBorder="1" applyAlignment="1" applyProtection="1">
      <alignment horizontal="center"/>
    </xf>
    <xf numFmtId="171" fontId="26" fillId="6" borderId="12" xfId="0" applyNumberFormat="1" applyFont="1" applyFill="1" applyBorder="1" applyAlignment="1" applyProtection="1">
      <alignment horizontal="center"/>
    </xf>
    <xf numFmtId="171" fontId="25" fillId="4" borderId="10" xfId="0" applyNumberFormat="1" applyFont="1" applyFill="1" applyBorder="1" applyAlignment="1" applyProtection="1">
      <alignment horizontal="center"/>
      <protection locked="0"/>
    </xf>
    <xf numFmtId="171" fontId="25" fillId="4" borderId="12" xfId="0" applyNumberFormat="1" applyFont="1" applyFill="1" applyBorder="1" applyAlignment="1" applyProtection="1">
      <alignment horizontal="center"/>
      <protection locked="0"/>
    </xf>
    <xf numFmtId="0" fontId="26" fillId="0" borderId="0" xfId="0" applyFont="1" applyAlignment="1" applyProtection="1">
      <alignment horizontal="left" indent="2"/>
    </xf>
    <xf numFmtId="0" fontId="26" fillId="0" borderId="0" xfId="0" applyFont="1" applyAlignment="1" applyProtection="1"/>
    <xf numFmtId="167" fontId="26" fillId="3" borderId="8" xfId="0" applyNumberFormat="1" applyFont="1" applyFill="1" applyBorder="1" applyAlignment="1" applyProtection="1">
      <alignment horizontal="center"/>
    </xf>
    <xf numFmtId="0" fontId="26" fillId="0" borderId="8" xfId="0" applyFont="1" applyBorder="1" applyAlignment="1" applyProtection="1">
      <alignment horizontal="left"/>
    </xf>
    <xf numFmtId="0" fontId="29" fillId="0" borderId="8" xfId="0" applyFont="1" applyBorder="1" applyAlignment="1">
      <alignment horizontal="left"/>
    </xf>
    <xf numFmtId="0" fontId="26" fillId="3" borderId="3" xfId="0" applyFont="1" applyFill="1" applyBorder="1" applyAlignment="1" applyProtection="1">
      <alignment horizontal="center" wrapText="1"/>
    </xf>
    <xf numFmtId="0" fontId="26" fillId="3" borderId="0" xfId="0" applyFont="1" applyFill="1" applyBorder="1" applyAlignment="1" applyProtection="1">
      <alignment horizontal="center" wrapText="1"/>
    </xf>
    <xf numFmtId="0" fontId="26" fillId="3" borderId="4" xfId="0" applyFont="1" applyFill="1" applyBorder="1" applyAlignment="1" applyProtection="1">
      <alignment horizontal="center" wrapText="1"/>
    </xf>
    <xf numFmtId="0" fontId="26" fillId="3" borderId="5" xfId="0" applyFont="1" applyFill="1" applyBorder="1" applyAlignment="1" applyProtection="1">
      <alignment horizontal="center" wrapText="1"/>
    </xf>
    <xf numFmtId="0" fontId="26" fillId="3" borderId="8" xfId="0" applyFont="1" applyFill="1" applyBorder="1" applyAlignment="1" applyProtection="1">
      <alignment horizontal="center" wrapText="1"/>
    </xf>
    <xf numFmtId="0" fontId="26" fillId="3" borderId="6" xfId="0" applyFont="1" applyFill="1" applyBorder="1" applyAlignment="1" applyProtection="1">
      <alignment horizontal="center" wrapText="1"/>
    </xf>
    <xf numFmtId="0" fontId="56" fillId="0" borderId="0" xfId="0" applyFont="1" applyAlignment="1" applyProtection="1">
      <alignment horizontal="center" wrapText="1"/>
    </xf>
    <xf numFmtId="0" fontId="25" fillId="0" borderId="91" xfId="0" applyFont="1" applyBorder="1" applyAlignment="1" applyProtection="1">
      <alignment horizontal="center" vertical="center" wrapText="1"/>
    </xf>
    <xf numFmtId="0" fontId="25" fillId="0" borderId="93" xfId="0" applyFont="1" applyBorder="1" applyAlignment="1" applyProtection="1">
      <alignment horizontal="center" vertical="center" wrapText="1"/>
    </xf>
    <xf numFmtId="176" fontId="26" fillId="3" borderId="122" xfId="0" applyNumberFormat="1" applyFont="1" applyFill="1" applyBorder="1" applyAlignment="1" applyProtection="1">
      <alignment horizontal="center" vertical="center"/>
    </xf>
    <xf numFmtId="176" fontId="26" fillId="3" borderId="92" xfId="0" applyNumberFormat="1" applyFont="1" applyFill="1" applyBorder="1" applyAlignment="1" applyProtection="1">
      <alignment horizontal="center" vertical="center"/>
    </xf>
    <xf numFmtId="176" fontId="26" fillId="3" borderId="94" xfId="0" applyNumberFormat="1" applyFont="1" applyFill="1" applyBorder="1" applyAlignment="1" applyProtection="1">
      <alignment horizontal="center" vertical="center"/>
    </xf>
    <xf numFmtId="0" fontId="37" fillId="0" borderId="0" xfId="0" applyFont="1" applyAlignment="1" applyProtection="1">
      <alignment horizontal="center" wrapText="1"/>
    </xf>
    <xf numFmtId="0" fontId="26" fillId="0" borderId="100" xfId="0" applyFont="1" applyBorder="1" applyAlignment="1" applyProtection="1">
      <alignment horizontal="left" vertical="center"/>
    </xf>
    <xf numFmtId="0" fontId="26" fillId="0" borderId="67" xfId="0" applyFont="1" applyBorder="1" applyAlignment="1" applyProtection="1">
      <alignment horizontal="left" vertical="center"/>
    </xf>
    <xf numFmtId="0" fontId="27" fillId="0" borderId="0" xfId="0" applyFont="1" applyAlignment="1" applyProtection="1">
      <alignment horizontal="left" vertical="center" wrapText="1"/>
    </xf>
    <xf numFmtId="0" fontId="27" fillId="0" borderId="0" xfId="0" applyFont="1" applyBorder="1" applyAlignment="1" applyProtection="1">
      <alignment horizontal="left" vertical="center" wrapText="1"/>
    </xf>
    <xf numFmtId="0" fontId="25" fillId="0" borderId="121" xfId="0" applyFont="1" applyBorder="1" applyAlignment="1" applyProtection="1">
      <alignment horizontal="center" vertical="center" wrapText="1"/>
    </xf>
    <xf numFmtId="0" fontId="26" fillId="0" borderId="0" xfId="0" applyFont="1" applyAlignment="1" applyProtection="1">
      <alignment horizontal="justify"/>
    </xf>
    <xf numFmtId="0" fontId="26" fillId="0" borderId="89" xfId="0" applyFont="1" applyBorder="1" applyAlignment="1" applyProtection="1">
      <alignment horizontal="center"/>
    </xf>
    <xf numFmtId="0" fontId="26" fillId="0" borderId="90" xfId="0" applyFont="1" applyBorder="1" applyAlignment="1" applyProtection="1">
      <alignment horizontal="center"/>
    </xf>
    <xf numFmtId="0" fontId="25" fillId="0" borderId="106" xfId="0" applyFont="1" applyBorder="1" applyAlignment="1" applyProtection="1">
      <alignment horizontal="center" vertical="center" wrapText="1"/>
    </xf>
    <xf numFmtId="0" fontId="25" fillId="0" borderId="97" xfId="0" applyFont="1" applyBorder="1" applyAlignment="1" applyProtection="1">
      <alignment horizontal="center" vertical="center" wrapText="1"/>
    </xf>
    <xf numFmtId="0" fontId="26" fillId="0" borderId="107" xfId="0" applyFont="1" applyBorder="1" applyAlignment="1" applyProtection="1">
      <alignment horizontal="center" vertical="center" wrapText="1"/>
    </xf>
    <xf numFmtId="0" fontId="26" fillId="0" borderId="98" xfId="0" applyFont="1" applyBorder="1" applyAlignment="1" applyProtection="1">
      <alignment horizontal="center" vertical="center" wrapText="1"/>
    </xf>
    <xf numFmtId="0" fontId="27" fillId="0" borderId="0" xfId="0" applyFont="1" applyAlignment="1" applyProtection="1">
      <alignment horizontal="left" wrapText="1"/>
    </xf>
    <xf numFmtId="0" fontId="26" fillId="0" borderId="1" xfId="0" applyFont="1" applyBorder="1" applyAlignment="1" applyProtection="1">
      <alignment horizontal="left"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0" fontId="26" fillId="0" borderId="100" xfId="0" applyFont="1" applyFill="1" applyBorder="1" applyAlignment="1" applyProtection="1">
      <alignment horizontal="left" vertical="center" wrapText="1"/>
    </xf>
    <xf numFmtId="0" fontId="26" fillId="0" borderId="67" xfId="0" applyFont="1" applyFill="1" applyBorder="1" applyAlignment="1" applyProtection="1">
      <alignment horizontal="left" vertical="center" wrapText="1"/>
    </xf>
    <xf numFmtId="0" fontId="26" fillId="0" borderId="101" xfId="0" applyFont="1" applyFill="1" applyBorder="1" applyAlignment="1" applyProtection="1">
      <alignment horizontal="left" vertical="center" wrapText="1"/>
    </xf>
    <xf numFmtId="0" fontId="26" fillId="0" borderId="66" xfId="0" applyFont="1" applyFill="1" applyBorder="1" applyAlignment="1" applyProtection="1">
      <alignment horizontal="left" vertical="center" wrapText="1"/>
    </xf>
    <xf numFmtId="0" fontId="25" fillId="0" borderId="123" xfId="0" applyFont="1" applyBorder="1" applyAlignment="1" applyProtection="1">
      <alignment horizontal="center" vertical="center" wrapText="1"/>
    </xf>
    <xf numFmtId="7" fontId="26" fillId="6" borderId="22" xfId="0" applyNumberFormat="1" applyFont="1" applyFill="1" applyBorder="1" applyAlignment="1" applyProtection="1">
      <alignment horizontal="right"/>
    </xf>
    <xf numFmtId="7" fontId="26" fillId="6" borderId="13" xfId="0" applyNumberFormat="1" applyFont="1" applyFill="1" applyBorder="1" applyAlignment="1" applyProtection="1">
      <alignment horizontal="right"/>
    </xf>
    <xf numFmtId="164" fontId="60" fillId="0" borderId="0" xfId="0" applyNumberFormat="1" applyFont="1" applyAlignment="1" applyProtection="1">
      <alignment horizontal="center"/>
    </xf>
    <xf numFmtId="0" fontId="37" fillId="0" borderId="0" xfId="0" applyFont="1" applyAlignment="1" applyProtection="1">
      <alignment horizontal="justify" wrapText="1"/>
    </xf>
    <xf numFmtId="0" fontId="26" fillId="0" borderId="0" xfId="0" applyFont="1" applyAlignment="1" applyProtection="1">
      <alignment horizontal="left" wrapText="1" indent="3"/>
    </xf>
    <xf numFmtId="0" fontId="25" fillId="48" borderId="0" xfId="0" applyFont="1" applyFill="1" applyAlignment="1" applyProtection="1">
      <alignment horizontal="center"/>
    </xf>
    <xf numFmtId="0" fontId="26" fillId="0" borderId="9" xfId="0" applyFont="1" applyFill="1" applyBorder="1" applyProtection="1"/>
    <xf numFmtId="0" fontId="26" fillId="0" borderId="12" xfId="0" applyFont="1" applyFill="1" applyBorder="1" applyProtection="1"/>
    <xf numFmtId="0" fontId="26" fillId="0" borderId="0" xfId="0" applyFont="1" applyAlignment="1" applyProtection="1">
      <alignment horizontal="left" indent="4"/>
    </xf>
    <xf numFmtId="0" fontId="26" fillId="0" borderId="0" xfId="0" applyFont="1" applyAlignment="1" applyProtection="1">
      <alignment horizontal="left" wrapText="1" indent="4"/>
    </xf>
    <xf numFmtId="0" fontId="26" fillId="3" borderId="23" xfId="0" applyFont="1" applyFill="1" applyBorder="1" applyAlignment="1" applyProtection="1">
      <alignment horizontal="center" wrapText="1"/>
    </xf>
    <xf numFmtId="7" fontId="26" fillId="4" borderId="9" xfId="0" applyNumberFormat="1" applyFont="1" applyFill="1" applyBorder="1" applyAlignment="1" applyProtection="1">
      <alignment horizontal="center"/>
      <protection locked="0"/>
    </xf>
    <xf numFmtId="7" fontId="26" fillId="4" borderId="8" xfId="0" applyNumberFormat="1" applyFont="1" applyFill="1" applyBorder="1" applyAlignment="1" applyProtection="1">
      <alignment horizontal="center"/>
      <protection locked="0"/>
    </xf>
    <xf numFmtId="0" fontId="26" fillId="0" borderId="8" xfId="0" applyFont="1" applyBorder="1" applyAlignment="1" applyProtection="1">
      <alignment vertical="top" wrapText="1"/>
    </xf>
    <xf numFmtId="7" fontId="26" fillId="3" borderId="8" xfId="0" applyNumberFormat="1" applyFont="1" applyFill="1" applyBorder="1" applyAlignment="1" applyProtection="1">
      <alignment horizontal="center"/>
    </xf>
    <xf numFmtId="10" fontId="26" fillId="3" borderId="20" xfId="0" applyNumberFormat="1" applyFont="1" applyFill="1" applyBorder="1" applyAlignment="1" applyProtection="1">
      <alignment horizontal="center"/>
    </xf>
    <xf numFmtId="0" fontId="26" fillId="0" borderId="8" xfId="0" applyFont="1" applyBorder="1" applyAlignment="1" applyProtection="1">
      <alignment horizontal="center"/>
    </xf>
    <xf numFmtId="7" fontId="26" fillId="3" borderId="20" xfId="0" applyNumberFormat="1" applyFont="1" applyFill="1" applyBorder="1" applyAlignment="1" applyProtection="1">
      <alignment horizontal="center"/>
    </xf>
    <xf numFmtId="1" fontId="26" fillId="3" borderId="8" xfId="0" applyNumberFormat="1" applyFont="1" applyFill="1" applyBorder="1" applyAlignment="1" applyProtection="1">
      <alignment horizontal="center"/>
    </xf>
    <xf numFmtId="0" fontId="26" fillId="0" borderId="0" xfId="0" applyFont="1" applyAlignment="1" applyProtection="1">
      <alignment horizontal="justify" vertical="top" wrapText="1"/>
    </xf>
    <xf numFmtId="0" fontId="26" fillId="0" borderId="0" xfId="0" applyFont="1" applyAlignment="1" applyProtection="1">
      <alignment horizontal="justify" vertical="center" wrapText="1"/>
    </xf>
    <xf numFmtId="7" fontId="26" fillId="3" borderId="26" xfId="0" applyNumberFormat="1" applyFont="1" applyFill="1" applyBorder="1" applyAlignment="1" applyProtection="1">
      <alignment horizontal="center"/>
    </xf>
    <xf numFmtId="0" fontId="26" fillId="0" borderId="7" xfId="0" applyFont="1" applyBorder="1" applyAlignment="1" applyProtection="1">
      <alignment horizontal="center"/>
    </xf>
    <xf numFmtId="0" fontId="29" fillId="0" borderId="8" xfId="0" applyFont="1" applyBorder="1" applyAlignment="1">
      <alignment vertical="top" wrapText="1"/>
    </xf>
    <xf numFmtId="0" fontId="26" fillId="0" borderId="121" xfId="0" applyFont="1" applyBorder="1" applyAlignment="1" applyProtection="1">
      <alignment horizontal="center"/>
    </xf>
    <xf numFmtId="0" fontId="26" fillId="0" borderId="153" xfId="0" applyFont="1" applyBorder="1" applyAlignment="1" applyProtection="1">
      <alignment horizontal="center"/>
    </xf>
    <xf numFmtId="0" fontId="26" fillId="0" borderId="122" xfId="0" applyFont="1" applyBorder="1" applyAlignment="1" applyProtection="1">
      <alignment horizontal="center"/>
    </xf>
    <xf numFmtId="0" fontId="26" fillId="2" borderId="10" xfId="0" applyNumberFormat="1" applyFont="1" applyFill="1" applyBorder="1" applyAlignment="1" applyProtection="1">
      <alignment horizontal="left" wrapText="1"/>
    </xf>
    <xf numFmtId="0" fontId="29" fillId="0" borderId="9" xfId="0" applyFont="1" applyBorder="1" applyAlignment="1" applyProtection="1">
      <alignment horizontal="left" wrapText="1"/>
    </xf>
    <xf numFmtId="0" fontId="29" fillId="0" borderId="12" xfId="0" applyFont="1" applyBorder="1" applyAlignment="1" applyProtection="1">
      <alignment horizontal="left" wrapText="1"/>
    </xf>
    <xf numFmtId="0" fontId="26" fillId="0" borderId="10" xfId="0" applyNumberFormat="1" applyFont="1" applyBorder="1" applyAlignment="1" applyProtection="1">
      <alignment horizontal="left" wrapText="1"/>
    </xf>
    <xf numFmtId="0" fontId="26" fillId="3" borderId="10" xfId="0" applyFont="1" applyFill="1" applyBorder="1" applyAlignment="1" applyProtection="1">
      <alignment horizontal="center" wrapText="1"/>
    </xf>
    <xf numFmtId="0" fontId="29" fillId="0" borderId="9" xfId="0" applyFont="1" applyBorder="1" applyAlignment="1" applyProtection="1">
      <alignment horizontal="center" wrapText="1"/>
    </xf>
    <xf numFmtId="0" fontId="29" fillId="0" borderId="12" xfId="0" applyFont="1" applyBorder="1" applyAlignment="1" applyProtection="1">
      <alignment horizontal="center" wrapText="1"/>
    </xf>
    <xf numFmtId="0" fontId="26" fillId="0" borderId="10" xfId="0" applyFont="1" applyBorder="1" applyAlignment="1" applyProtection="1">
      <alignment horizontal="left" wrapText="1"/>
    </xf>
    <xf numFmtId="0" fontId="26" fillId="4" borderId="10" xfId="0" applyNumberFormat="1" applyFont="1" applyFill="1" applyBorder="1" applyAlignment="1" applyProtection="1">
      <alignment horizontal="left" wrapText="1"/>
    </xf>
    <xf numFmtId="0" fontId="29" fillId="4" borderId="9" xfId="0" applyFont="1" applyFill="1" applyBorder="1" applyAlignment="1" applyProtection="1">
      <alignment horizontal="left" wrapText="1"/>
    </xf>
    <xf numFmtId="0" fontId="29" fillId="4" borderId="12" xfId="0" applyFont="1" applyFill="1" applyBorder="1" applyAlignment="1" applyProtection="1">
      <alignment horizontal="left" wrapText="1"/>
    </xf>
    <xf numFmtId="0" fontId="26" fillId="0" borderId="0" xfId="0" applyFont="1" applyBorder="1" applyAlignment="1" applyProtection="1"/>
    <xf numFmtId="0" fontId="26" fillId="0" borderId="10" xfId="0" applyNumberFormat="1" applyFont="1" applyBorder="1" applyAlignment="1" applyProtection="1">
      <alignment horizontal="left" vertical="center" wrapText="1"/>
    </xf>
    <xf numFmtId="0" fontId="26" fillId="0" borderId="9" xfId="0" applyNumberFormat="1" applyFont="1" applyBorder="1" applyAlignment="1" applyProtection="1">
      <alignment horizontal="left" vertical="center" wrapText="1"/>
    </xf>
    <xf numFmtId="0" fontId="26" fillId="0" borderId="12" xfId="0" applyNumberFormat="1" applyFont="1" applyBorder="1" applyAlignment="1" applyProtection="1">
      <alignment horizontal="left" vertical="center" wrapText="1"/>
    </xf>
    <xf numFmtId="0" fontId="26" fillId="0" borderId="9" xfId="0" applyNumberFormat="1" applyFont="1" applyBorder="1" applyAlignment="1" applyProtection="1">
      <alignment horizontal="left" wrapText="1"/>
    </xf>
    <xf numFmtId="0" fontId="26" fillId="0" borderId="12" xfId="0" applyNumberFormat="1" applyFont="1" applyBorder="1" applyAlignment="1" applyProtection="1">
      <alignment horizontal="left" wrapText="1"/>
    </xf>
    <xf numFmtId="0" fontId="26" fillId="0" borderId="10" xfId="0" applyFont="1" applyBorder="1" applyAlignment="1" applyProtection="1">
      <alignment horizontal="left"/>
    </xf>
    <xf numFmtId="0" fontId="26" fillId="0" borderId="9" xfId="0" applyFont="1" applyBorder="1" applyAlignment="1" applyProtection="1">
      <alignment horizontal="left"/>
    </xf>
    <xf numFmtId="0" fontId="26" fillId="0" borderId="12" xfId="0" applyFont="1" applyBorder="1" applyAlignment="1" applyProtection="1">
      <alignment horizontal="left"/>
    </xf>
    <xf numFmtId="0" fontId="26" fillId="3" borderId="10" xfId="0" applyFont="1" applyFill="1" applyBorder="1" applyAlignment="1" applyProtection="1">
      <alignment horizontal="center"/>
    </xf>
    <xf numFmtId="0" fontId="26" fillId="3" borderId="12" xfId="0" applyFont="1" applyFill="1" applyBorder="1" applyAlignment="1" applyProtection="1">
      <alignment horizontal="center"/>
    </xf>
    <xf numFmtId="0" fontId="26" fillId="3" borderId="2" xfId="0" applyFont="1" applyFill="1" applyBorder="1" applyAlignment="1" applyProtection="1">
      <alignment horizontal="center" vertical="center" wrapText="1"/>
    </xf>
    <xf numFmtId="0" fontId="26" fillId="3" borderId="6" xfId="0" applyFont="1" applyFill="1" applyBorder="1" applyAlignment="1" applyProtection="1">
      <alignment horizontal="center" vertical="center" wrapText="1"/>
    </xf>
    <xf numFmtId="49" fontId="26" fillId="6" borderId="10" xfId="0" applyNumberFormat="1" applyFont="1" applyFill="1" applyBorder="1" applyAlignment="1" applyProtection="1">
      <alignment horizontal="center"/>
    </xf>
    <xf numFmtId="0" fontId="26" fillId="6" borderId="12" xfId="0" applyFont="1" applyFill="1" applyBorder="1" applyAlignment="1" applyProtection="1">
      <alignment horizontal="center"/>
    </xf>
    <xf numFmtId="0" fontId="26" fillId="6" borderId="12" xfId="0" applyNumberFormat="1" applyFont="1" applyFill="1" applyBorder="1" applyAlignment="1" applyProtection="1">
      <alignment horizontal="center"/>
    </xf>
    <xf numFmtId="0" fontId="26" fillId="0" borderId="0" xfId="0" applyFont="1" applyBorder="1" applyAlignment="1" applyProtection="1">
      <alignment wrapText="1"/>
    </xf>
    <xf numFmtId="44" fontId="25" fillId="4" borderId="10" xfId="0" applyNumberFormat="1" applyFont="1" applyFill="1" applyBorder="1" applyAlignment="1" applyProtection="1">
      <alignment horizontal="center"/>
      <protection locked="0"/>
    </xf>
    <xf numFmtId="44" fontId="25" fillId="4" borderId="12" xfId="0" applyNumberFormat="1" applyFont="1" applyFill="1" applyBorder="1" applyAlignment="1" applyProtection="1">
      <alignment horizontal="center"/>
      <protection locked="0"/>
    </xf>
    <xf numFmtId="0" fontId="26" fillId="0" borderId="10" xfId="0" applyFont="1" applyFill="1" applyBorder="1" applyAlignment="1" applyProtection="1">
      <alignment horizontal="center" wrapText="1"/>
    </xf>
    <xf numFmtId="0" fontId="29" fillId="0" borderId="9" xfId="0" applyFont="1" applyFill="1" applyBorder="1" applyAlignment="1" applyProtection="1">
      <alignment horizontal="center" wrapText="1"/>
    </xf>
    <xf numFmtId="0" fontId="29" fillId="0" borderId="12" xfId="0" applyFont="1" applyFill="1" applyBorder="1" applyAlignment="1" applyProtection="1">
      <alignment horizontal="center" wrapText="1"/>
    </xf>
    <xf numFmtId="0" fontId="29" fillId="3" borderId="9" xfId="0" applyFont="1" applyFill="1" applyBorder="1" applyAlignment="1" applyProtection="1">
      <alignment horizontal="center" wrapText="1"/>
    </xf>
    <xf numFmtId="0" fontId="29" fillId="3" borderId="12" xfId="0" applyFont="1" applyFill="1" applyBorder="1" applyAlignment="1" applyProtection="1">
      <alignment horizontal="center" wrapText="1"/>
    </xf>
    <xf numFmtId="0" fontId="26" fillId="4" borderId="10" xfId="0" applyNumberFormat="1" applyFont="1" applyFill="1" applyBorder="1" applyAlignment="1" applyProtection="1">
      <alignment horizontal="left" wrapText="1"/>
      <protection locked="0"/>
    </xf>
    <xf numFmtId="0" fontId="29" fillId="4" borderId="9" xfId="0" applyFont="1" applyFill="1" applyBorder="1" applyAlignment="1" applyProtection="1">
      <alignment horizontal="left" wrapText="1"/>
      <protection locked="0"/>
    </xf>
    <xf numFmtId="0" fontId="29" fillId="4" borderId="12" xfId="0" applyFont="1" applyFill="1" applyBorder="1" applyAlignment="1" applyProtection="1">
      <alignment horizontal="left" wrapText="1"/>
      <protection locked="0"/>
    </xf>
    <xf numFmtId="0" fontId="29" fillId="0" borderId="9" xfId="0" applyFont="1" applyBorder="1" applyAlignment="1" applyProtection="1">
      <alignment horizontal="left" vertical="center" wrapText="1"/>
    </xf>
    <xf numFmtId="0" fontId="29" fillId="0" borderId="12" xfId="0" applyFont="1" applyBorder="1" applyAlignment="1" applyProtection="1">
      <alignment horizontal="left" vertical="center" wrapText="1"/>
    </xf>
    <xf numFmtId="0" fontId="37" fillId="0" borderId="0" xfId="0" applyFont="1" applyAlignment="1" applyProtection="1">
      <alignment horizontal="center" vertical="center" wrapText="1"/>
    </xf>
    <xf numFmtId="0" fontId="26" fillId="3" borderId="126" xfId="0" applyFont="1" applyFill="1" applyBorder="1" applyAlignment="1" applyProtection="1">
      <alignment horizontal="center" vertical="center" wrapText="1"/>
    </xf>
    <xf numFmtId="0" fontId="26" fillId="3" borderId="172" xfId="0" applyFont="1" applyFill="1" applyBorder="1" applyAlignment="1" applyProtection="1">
      <alignment horizontal="center" vertical="center" wrapText="1"/>
    </xf>
    <xf numFmtId="0" fontId="26" fillId="3" borderId="127" xfId="0" applyFont="1" applyFill="1" applyBorder="1" applyAlignment="1" applyProtection="1">
      <alignment horizontal="center" vertical="center" wrapText="1"/>
    </xf>
    <xf numFmtId="0" fontId="26" fillId="3" borderId="171" xfId="0" applyFont="1" applyFill="1" applyBorder="1" applyAlignment="1" applyProtection="1">
      <alignment horizontal="center" vertical="center" wrapText="1"/>
    </xf>
    <xf numFmtId="0" fontId="26" fillId="3" borderId="126" xfId="0" applyFont="1" applyFill="1" applyBorder="1" applyAlignment="1" applyProtection="1">
      <alignment horizontal="center"/>
    </xf>
    <xf numFmtId="0" fontId="26" fillId="3" borderId="172" xfId="0" applyFont="1" applyFill="1" applyBorder="1" applyAlignment="1" applyProtection="1">
      <alignment horizontal="center"/>
    </xf>
    <xf numFmtId="0" fontId="26" fillId="0" borderId="121" xfId="0" applyFont="1" applyBorder="1" applyAlignment="1" applyProtection="1">
      <alignment horizontal="left" vertical="center" wrapText="1"/>
    </xf>
    <xf numFmtId="0" fontId="26" fillId="0" borderId="122" xfId="0" applyFont="1" applyBorder="1" applyAlignment="1" applyProtection="1">
      <alignment horizontal="left" vertical="center" wrapText="1"/>
    </xf>
    <xf numFmtId="0" fontId="26" fillId="0" borderId="91" xfId="0" applyFont="1" applyBorder="1" applyAlignment="1" applyProtection="1">
      <alignment horizontal="left" vertical="center" wrapText="1"/>
    </xf>
    <xf numFmtId="0" fontId="26" fillId="0" borderId="92" xfId="0" applyFont="1" applyBorder="1" applyAlignment="1" applyProtection="1">
      <alignment horizontal="left" vertical="center" wrapText="1"/>
    </xf>
    <xf numFmtId="0" fontId="26" fillId="0" borderId="150" xfId="0" applyFont="1" applyBorder="1" applyAlignment="1" applyProtection="1">
      <alignment horizontal="left" vertical="center" wrapText="1"/>
    </xf>
    <xf numFmtId="0" fontId="26" fillId="0" borderId="0" xfId="0" applyFont="1" applyAlignment="1" applyProtection="1">
      <alignment horizontal="left" vertical="center" wrapText="1"/>
    </xf>
    <xf numFmtId="0" fontId="72" fillId="0" borderId="0" xfId="82" applyAlignment="1" applyProtection="1">
      <alignment horizontal="left" vertical="center" wrapText="1"/>
    </xf>
    <xf numFmtId="0" fontId="26" fillId="0" borderId="16" xfId="0" applyFont="1" applyBorder="1" applyAlignment="1" applyProtection="1">
      <alignment horizontal="center" wrapText="1"/>
    </xf>
    <xf numFmtId="7" fontId="26" fillId="4" borderId="16" xfId="0" applyNumberFormat="1" applyFont="1" applyFill="1" applyBorder="1" applyAlignment="1" applyProtection="1"/>
    <xf numFmtId="7" fontId="26" fillId="4" borderId="25" xfId="0" applyNumberFormat="1" applyFont="1" applyFill="1" applyBorder="1" applyAlignment="1" applyProtection="1"/>
    <xf numFmtId="7" fontId="26" fillId="4" borderId="26" xfId="0" applyNumberFormat="1" applyFont="1" applyFill="1" applyBorder="1" applyAlignment="1" applyProtection="1"/>
    <xf numFmtId="7" fontId="26" fillId="4" borderId="19" xfId="0" applyNumberFormat="1" applyFont="1" applyFill="1" applyBorder="1" applyAlignment="1" applyProtection="1"/>
    <xf numFmtId="0" fontId="25" fillId="0" borderId="10" xfId="0" applyFont="1" applyFill="1" applyBorder="1" applyAlignment="1" applyProtection="1">
      <alignment horizontal="left"/>
    </xf>
    <xf numFmtId="0" fontId="29" fillId="0" borderId="9" xfId="0" applyFont="1" applyFill="1" applyBorder="1" applyAlignment="1" applyProtection="1">
      <alignment horizontal="left"/>
    </xf>
    <xf numFmtId="0" fontId="29" fillId="0" borderId="12" xfId="0" applyFont="1" applyFill="1" applyBorder="1" applyAlignment="1" applyProtection="1">
      <alignment horizontal="left"/>
    </xf>
    <xf numFmtId="14" fontId="26" fillId="4" borderId="10" xfId="0" applyNumberFormat="1" applyFont="1" applyFill="1" applyBorder="1" applyAlignment="1" applyProtection="1">
      <alignment horizontal="center"/>
    </xf>
    <xf numFmtId="14" fontId="26" fillId="4" borderId="12" xfId="0" applyNumberFormat="1" applyFont="1" applyFill="1" applyBorder="1" applyAlignment="1" applyProtection="1">
      <alignment horizontal="center"/>
    </xf>
    <xf numFmtId="10" fontId="26" fillId="4" borderId="10" xfId="0" applyNumberFormat="1" applyFont="1" applyFill="1" applyBorder="1" applyAlignment="1" applyProtection="1">
      <alignment horizontal="left"/>
    </xf>
    <xf numFmtId="173" fontId="26" fillId="4" borderId="10" xfId="0" applyNumberFormat="1" applyFont="1" applyFill="1" applyBorder="1" applyAlignment="1" applyProtection="1">
      <alignment horizontal="center"/>
    </xf>
    <xf numFmtId="173" fontId="26" fillId="4" borderId="9" xfId="0" applyNumberFormat="1" applyFont="1" applyFill="1" applyBorder="1" applyAlignment="1" applyProtection="1">
      <alignment horizontal="center"/>
    </xf>
    <xf numFmtId="173" fontId="26" fillId="4" borderId="12" xfId="0" applyNumberFormat="1" applyFont="1" applyFill="1" applyBorder="1" applyAlignment="1" applyProtection="1">
      <alignment horizontal="center"/>
    </xf>
    <xf numFmtId="10" fontId="26" fillId="3" borderId="10" xfId="0" applyNumberFormat="1" applyFont="1" applyFill="1" applyBorder="1" applyAlignment="1" applyProtection="1">
      <alignment horizontal="center"/>
    </xf>
    <xf numFmtId="10" fontId="26" fillId="3" borderId="9" xfId="0" applyNumberFormat="1" applyFont="1" applyFill="1" applyBorder="1" applyAlignment="1" applyProtection="1">
      <alignment horizontal="center"/>
    </xf>
    <xf numFmtId="10" fontId="26" fillId="3" borderId="12" xfId="0" applyNumberFormat="1" applyFont="1" applyFill="1" applyBorder="1" applyAlignment="1" applyProtection="1">
      <alignment horizontal="center"/>
    </xf>
    <xf numFmtId="173" fontId="26" fillId="6" borderId="10" xfId="0" applyNumberFormat="1" applyFont="1" applyFill="1" applyBorder="1" applyAlignment="1" applyProtection="1">
      <alignment horizontal="center"/>
    </xf>
    <xf numFmtId="173" fontId="26" fillId="6" borderId="9" xfId="0" applyNumberFormat="1" applyFont="1" applyFill="1" applyBorder="1" applyAlignment="1" applyProtection="1">
      <alignment horizontal="center"/>
    </xf>
    <xf numFmtId="173" fontId="26" fillId="6" borderId="12" xfId="0" applyNumberFormat="1" applyFont="1" applyFill="1" applyBorder="1" applyAlignment="1" applyProtection="1">
      <alignment horizontal="center"/>
    </xf>
    <xf numFmtId="10" fontId="26" fillId="6" borderId="10" xfId="0" applyNumberFormat="1" applyFont="1" applyFill="1" applyBorder="1" applyAlignment="1" applyProtection="1">
      <alignment horizontal="left"/>
    </xf>
    <xf numFmtId="0" fontId="29" fillId="6" borderId="9" xfId="0" applyFont="1" applyFill="1" applyBorder="1" applyAlignment="1" applyProtection="1">
      <alignment horizontal="left"/>
    </xf>
    <xf numFmtId="0" fontId="29" fillId="6" borderId="12" xfId="0" applyFont="1" applyFill="1" applyBorder="1" applyAlignment="1" applyProtection="1">
      <alignment horizontal="left"/>
    </xf>
    <xf numFmtId="0" fontId="25" fillId="0" borderId="10" xfId="0" applyFont="1" applyBorder="1" applyAlignment="1" applyProtection="1">
      <alignment horizontal="center" wrapText="1"/>
    </xf>
    <xf numFmtId="0" fontId="25" fillId="0" borderId="9" xfId="0" applyFont="1" applyBorder="1" applyAlignment="1" applyProtection="1">
      <alignment horizontal="center" wrapText="1"/>
    </xf>
    <xf numFmtId="0" fontId="25" fillId="0" borderId="12" xfId="0" applyFont="1" applyBorder="1" applyAlignment="1" applyProtection="1">
      <alignment horizontal="center" wrapText="1"/>
    </xf>
    <xf numFmtId="0" fontId="26" fillId="0" borderId="10" xfId="0" applyFont="1" applyBorder="1" applyAlignment="1" applyProtection="1">
      <alignment horizontal="center"/>
    </xf>
    <xf numFmtId="0" fontId="26" fillId="0" borderId="9" xfId="0" applyFont="1" applyBorder="1" applyAlignment="1" applyProtection="1">
      <alignment horizontal="center"/>
    </xf>
    <xf numFmtId="0" fontId="26" fillId="0" borderId="12" xfId="0" applyFont="1" applyBorder="1" applyAlignment="1" applyProtection="1">
      <alignment horizontal="center"/>
    </xf>
    <xf numFmtId="0" fontId="26" fillId="3" borderId="9" xfId="0" applyFont="1" applyFill="1" applyBorder="1" applyAlignment="1" applyProtection="1">
      <alignment horizontal="center"/>
    </xf>
    <xf numFmtId="49" fontId="26" fillId="6" borderId="9" xfId="0" applyNumberFormat="1" applyFont="1" applyFill="1" applyBorder="1" applyAlignment="1" applyProtection="1">
      <alignment horizontal="center"/>
    </xf>
    <xf numFmtId="49" fontId="26" fillId="6" borderId="12" xfId="0" applyNumberFormat="1" applyFont="1" applyFill="1" applyBorder="1" applyAlignment="1" applyProtection="1">
      <alignment horizontal="center"/>
    </xf>
    <xf numFmtId="0" fontId="26" fillId="0" borderId="10" xfId="0" applyFont="1" applyFill="1" applyBorder="1" applyAlignment="1" applyProtection="1">
      <alignment horizontal="center"/>
    </xf>
    <xf numFmtId="0" fontId="26" fillId="0" borderId="9" xfId="0" applyFont="1" applyFill="1" applyBorder="1" applyAlignment="1" applyProtection="1">
      <alignment horizontal="center"/>
    </xf>
    <xf numFmtId="0" fontId="26" fillId="0" borderId="12" xfId="0" applyFont="1" applyFill="1" applyBorder="1" applyAlignment="1" applyProtection="1">
      <alignment horizontal="center"/>
    </xf>
    <xf numFmtId="14" fontId="26" fillId="6" borderId="10" xfId="0" applyNumberFormat="1" applyFont="1" applyFill="1" applyBorder="1" applyAlignment="1" applyProtection="1">
      <alignment horizontal="center"/>
    </xf>
    <xf numFmtId="14" fontId="26" fillId="6" borderId="12" xfId="0" applyNumberFormat="1" applyFont="1" applyFill="1" applyBorder="1" applyAlignment="1" applyProtection="1">
      <alignment horizontal="center"/>
    </xf>
    <xf numFmtId="0" fontId="26" fillId="6" borderId="10" xfId="0" applyFont="1" applyFill="1" applyBorder="1" applyAlignment="1" applyProtection="1">
      <alignment horizontal="left"/>
    </xf>
    <xf numFmtId="14" fontId="26" fillId="6" borderId="9" xfId="0" applyNumberFormat="1" applyFont="1" applyFill="1" applyBorder="1" applyAlignment="1" applyProtection="1">
      <alignment horizontal="center"/>
    </xf>
    <xf numFmtId="0" fontId="26" fillId="6" borderId="9" xfId="0" applyFont="1" applyFill="1" applyBorder="1" applyAlignment="1" applyProtection="1">
      <alignment horizontal="left"/>
    </xf>
    <xf numFmtId="0" fontId="26" fillId="6" borderId="12" xfId="0" applyFont="1" applyFill="1" applyBorder="1" applyAlignment="1" applyProtection="1">
      <alignment horizontal="left"/>
    </xf>
    <xf numFmtId="0" fontId="26" fillId="0" borderId="0" xfId="0" quotePrefix="1" applyFont="1" applyBorder="1" applyAlignment="1" applyProtection="1">
      <alignment horizontal="justify" wrapText="1"/>
    </xf>
    <xf numFmtId="14" fontId="26" fillId="4" borderId="9" xfId="0" applyNumberFormat="1" applyFont="1" applyFill="1" applyBorder="1" applyAlignment="1" applyProtection="1">
      <alignment horizontal="center"/>
    </xf>
    <xf numFmtId="0" fontId="29" fillId="0" borderId="9" xfId="0" applyFont="1" applyBorder="1" applyAlignment="1" applyProtection="1">
      <alignment horizontal="left"/>
    </xf>
    <xf numFmtId="0" fontId="29" fillId="0" borderId="12" xfId="0" applyFont="1" applyBorder="1" applyAlignment="1" applyProtection="1">
      <alignment horizontal="left"/>
    </xf>
    <xf numFmtId="14" fontId="26" fillId="4" borderId="10" xfId="0" applyNumberFormat="1" applyFont="1" applyFill="1" applyBorder="1" applyAlignment="1" applyProtection="1">
      <alignment horizontal="center"/>
      <protection locked="0"/>
    </xf>
    <xf numFmtId="14" fontId="26" fillId="4" borderId="12" xfId="0" applyNumberFormat="1" applyFont="1" applyFill="1" applyBorder="1" applyAlignment="1" applyProtection="1">
      <alignment horizontal="center"/>
      <protection locked="0"/>
    </xf>
    <xf numFmtId="14" fontId="26" fillId="4" borderId="9" xfId="0" applyNumberFormat="1" applyFont="1" applyFill="1" applyBorder="1" applyAlignment="1" applyProtection="1">
      <alignment horizontal="center"/>
      <protection locked="0"/>
    </xf>
    <xf numFmtId="0" fontId="66" fillId="0" borderId="10" xfId="0" applyFont="1" applyFill="1" applyBorder="1" applyAlignment="1" applyProtection="1">
      <alignment horizontal="left"/>
    </xf>
    <xf numFmtId="0" fontId="66" fillId="0" borderId="9" xfId="0" applyFont="1" applyFill="1" applyBorder="1" applyAlignment="1" applyProtection="1">
      <alignment horizontal="left"/>
    </xf>
    <xf numFmtId="0" fontId="66" fillId="0" borderId="12" xfId="0" applyFont="1" applyFill="1" applyBorder="1" applyAlignment="1" applyProtection="1">
      <alignment horizontal="left"/>
    </xf>
    <xf numFmtId="0" fontId="26" fillId="0" borderId="10" xfId="0" applyFont="1" applyFill="1" applyBorder="1" applyAlignment="1" applyProtection="1">
      <alignment horizontal="left"/>
    </xf>
    <xf numFmtId="0" fontId="26" fillId="0" borderId="9" xfId="0" applyFont="1" applyFill="1" applyBorder="1" applyAlignment="1" applyProtection="1">
      <alignment horizontal="left"/>
    </xf>
    <xf numFmtId="0" fontId="26" fillId="0" borderId="12" xfId="0" applyFont="1" applyFill="1" applyBorder="1" applyAlignment="1" applyProtection="1">
      <alignment horizontal="left"/>
    </xf>
    <xf numFmtId="0" fontId="68" fillId="0" borderId="10" xfId="0" applyFont="1" applyFill="1" applyBorder="1" applyAlignment="1" applyProtection="1">
      <alignment horizontal="left"/>
    </xf>
    <xf numFmtId="0" fontId="68" fillId="0" borderId="9" xfId="0" applyFont="1" applyFill="1" applyBorder="1" applyAlignment="1" applyProtection="1">
      <alignment horizontal="left"/>
    </xf>
    <xf numFmtId="0" fontId="68" fillId="0" borderId="12" xfId="0" applyFont="1" applyFill="1" applyBorder="1" applyAlignment="1" applyProtection="1">
      <alignment horizontal="left"/>
    </xf>
    <xf numFmtId="0" fontId="25" fillId="0" borderId="10" xfId="0" applyFont="1" applyFill="1" applyBorder="1" applyAlignment="1" applyProtection="1">
      <alignment horizontal="center" wrapText="1"/>
    </xf>
    <xf numFmtId="0" fontId="25" fillId="0" borderId="9" xfId="0" applyFont="1" applyFill="1" applyBorder="1" applyAlignment="1" applyProtection="1">
      <alignment horizontal="center" wrapText="1"/>
    </xf>
    <xf numFmtId="0" fontId="25" fillId="0" borderId="12" xfId="0" applyFont="1" applyFill="1" applyBorder="1" applyAlignment="1" applyProtection="1">
      <alignment horizontal="center" wrapText="1"/>
    </xf>
    <xf numFmtId="10" fontId="26" fillId="4" borderId="10" xfId="0" applyNumberFormat="1" applyFont="1" applyFill="1" applyBorder="1" applyAlignment="1" applyProtection="1">
      <alignment horizontal="left"/>
      <protection locked="0"/>
    </xf>
    <xf numFmtId="10" fontId="26" fillId="4" borderId="9" xfId="0" applyNumberFormat="1" applyFont="1" applyFill="1" applyBorder="1" applyAlignment="1" applyProtection="1">
      <alignment horizontal="left"/>
      <protection locked="0"/>
    </xf>
    <xf numFmtId="10" fontId="26" fillId="4" borderId="12" xfId="0" applyNumberFormat="1" applyFont="1" applyFill="1" applyBorder="1" applyAlignment="1" applyProtection="1">
      <alignment horizontal="left"/>
      <protection locked="0"/>
    </xf>
    <xf numFmtId="173" fontId="26" fillId="4" borderId="10" xfId="0" applyNumberFormat="1" applyFont="1" applyFill="1" applyBorder="1" applyAlignment="1" applyProtection="1">
      <alignment horizontal="center"/>
      <protection locked="0"/>
    </xf>
    <xf numFmtId="173" fontId="26" fillId="4" borderId="9" xfId="0" applyNumberFormat="1" applyFont="1" applyFill="1" applyBorder="1" applyAlignment="1" applyProtection="1">
      <alignment horizontal="center"/>
      <protection locked="0"/>
    </xf>
    <xf numFmtId="173" fontId="26" fillId="4" borderId="12" xfId="0" applyNumberFormat="1" applyFont="1" applyFill="1" applyBorder="1" applyAlignment="1" applyProtection="1">
      <alignment horizontal="center"/>
      <protection locked="0"/>
    </xf>
    <xf numFmtId="7" fontId="26" fillId="3" borderId="16" xfId="0" applyNumberFormat="1" applyFont="1" applyFill="1" applyBorder="1" applyAlignment="1" applyProtection="1"/>
    <xf numFmtId="7" fontId="26" fillId="3" borderId="25" xfId="0" applyNumberFormat="1" applyFont="1" applyFill="1" applyBorder="1" applyAlignment="1" applyProtection="1"/>
    <xf numFmtId="7" fontId="26" fillId="3" borderId="26" xfId="0" applyNumberFormat="1" applyFont="1" applyFill="1" applyBorder="1" applyAlignment="1" applyProtection="1"/>
    <xf numFmtId="7" fontId="26" fillId="3" borderId="19" xfId="0" applyNumberFormat="1" applyFont="1" applyFill="1" applyBorder="1" applyAlignment="1" applyProtection="1"/>
    <xf numFmtId="10" fontId="26" fillId="3" borderId="10" xfId="0" applyNumberFormat="1" applyFont="1" applyFill="1" applyBorder="1" applyAlignment="1" applyProtection="1">
      <alignment horizontal="left"/>
    </xf>
    <xf numFmtId="0" fontId="29" fillId="3" borderId="9" xfId="0" applyFont="1" applyFill="1" applyBorder="1" applyAlignment="1" applyProtection="1">
      <alignment horizontal="left"/>
    </xf>
    <xf numFmtId="0" fontId="29" fillId="3" borderId="12" xfId="0" applyFont="1" applyFill="1" applyBorder="1" applyAlignment="1" applyProtection="1">
      <alignment horizontal="left"/>
    </xf>
    <xf numFmtId="0" fontId="40" fillId="0" borderId="0" xfId="0" applyFont="1" applyAlignment="1" applyProtection="1">
      <alignment horizontal="justify" vertical="top" wrapText="1"/>
    </xf>
    <xf numFmtId="0" fontId="26" fillId="6" borderId="10" xfId="0" applyFont="1" applyFill="1" applyBorder="1" applyAlignment="1" applyProtection="1"/>
    <xf numFmtId="0" fontId="26" fillId="6" borderId="9" xfId="0" applyFont="1" applyFill="1" applyBorder="1" applyAlignment="1" applyProtection="1"/>
    <xf numFmtId="0" fontId="26" fillId="6" borderId="12" xfId="0" applyFont="1" applyFill="1" applyBorder="1" applyAlignment="1" applyProtection="1"/>
    <xf numFmtId="10" fontId="26" fillId="6" borderId="9" xfId="0" applyNumberFormat="1" applyFont="1" applyFill="1" applyBorder="1" applyAlignment="1" applyProtection="1">
      <alignment horizontal="left"/>
    </xf>
    <xf numFmtId="10" fontId="26" fillId="6" borderId="12" xfId="0" applyNumberFormat="1" applyFont="1" applyFill="1" applyBorder="1" applyAlignment="1" applyProtection="1">
      <alignment horizontal="left"/>
    </xf>
    <xf numFmtId="0" fontId="26" fillId="0" borderId="95" xfId="0" applyFont="1" applyBorder="1" applyAlignment="1" applyProtection="1">
      <alignment horizontal="center" vertical="center" wrapText="1"/>
    </xf>
    <xf numFmtId="0" fontId="26" fillId="0" borderId="96" xfId="0" applyFont="1" applyBorder="1" applyAlignment="1" applyProtection="1">
      <alignment horizontal="center" vertical="center" wrapText="1"/>
    </xf>
    <xf numFmtId="0" fontId="26" fillId="0" borderId="108" xfId="0" applyFont="1" applyBorder="1" applyAlignment="1" applyProtection="1">
      <alignment horizontal="center" vertical="center" wrapText="1"/>
    </xf>
    <xf numFmtId="0" fontId="26" fillId="0" borderId="109" xfId="0" applyFont="1" applyBorder="1" applyAlignment="1" applyProtection="1">
      <alignment horizontal="center" vertical="center" wrapText="1"/>
    </xf>
    <xf numFmtId="0" fontId="26" fillId="0" borderId="110" xfId="0" applyFont="1" applyBorder="1" applyAlignment="1" applyProtection="1">
      <alignment horizontal="center" vertical="center" wrapText="1"/>
    </xf>
    <xf numFmtId="0" fontId="26" fillId="0" borderId="111" xfId="0" applyFont="1" applyBorder="1" applyAlignment="1" applyProtection="1">
      <alignment horizontal="center" vertical="center" wrapText="1"/>
    </xf>
    <xf numFmtId="0" fontId="26" fillId="0" borderId="130" xfId="0" applyFont="1" applyBorder="1" applyAlignment="1" applyProtection="1">
      <alignment horizontal="center" vertical="center" wrapText="1"/>
    </xf>
    <xf numFmtId="0" fontId="26" fillId="0" borderId="106" xfId="0" applyFont="1" applyBorder="1" applyAlignment="1" applyProtection="1">
      <alignment horizontal="center" vertical="center" wrapText="1"/>
    </xf>
    <xf numFmtId="0" fontId="26" fillId="0" borderId="132" xfId="0" applyFont="1" applyBorder="1" applyAlignment="1" applyProtection="1">
      <alignment horizontal="center" vertical="center" wrapText="1"/>
    </xf>
    <xf numFmtId="170" fontId="26" fillId="0" borderId="131" xfId="0" applyNumberFormat="1" applyFont="1" applyBorder="1" applyAlignment="1" applyProtection="1">
      <alignment horizontal="center" vertical="center"/>
    </xf>
    <xf numFmtId="170" fontId="26" fillId="0" borderId="107" xfId="0" applyNumberFormat="1" applyFont="1" applyBorder="1" applyAlignment="1" applyProtection="1">
      <alignment horizontal="center" vertical="center"/>
    </xf>
    <xf numFmtId="170" fontId="26" fillId="0" borderId="119" xfId="0" applyNumberFormat="1" applyFont="1" applyBorder="1" applyAlignment="1" applyProtection="1">
      <alignment horizontal="center" vertical="center"/>
    </xf>
    <xf numFmtId="0" fontId="26" fillId="0" borderId="89" xfId="0" applyFont="1" applyBorder="1" applyAlignment="1" applyProtection="1">
      <alignment horizontal="center" wrapText="1"/>
    </xf>
    <xf numFmtId="0" fontId="26" fillId="0" borderId="90" xfId="0" applyFont="1" applyBorder="1" applyAlignment="1" applyProtection="1">
      <alignment horizontal="center" wrapText="1"/>
    </xf>
    <xf numFmtId="10" fontId="68" fillId="0" borderId="10" xfId="0" applyNumberFormat="1" applyFont="1" applyFill="1" applyBorder="1" applyAlignment="1" applyProtection="1">
      <alignment horizontal="left"/>
    </xf>
    <xf numFmtId="0" fontId="69" fillId="0" borderId="9" xfId="0" applyFont="1" applyFill="1" applyBorder="1" applyAlignment="1" applyProtection="1">
      <alignment horizontal="left"/>
    </xf>
    <xf numFmtId="0" fontId="69" fillId="0" borderId="12" xfId="0" applyFont="1" applyFill="1" applyBorder="1" applyAlignment="1" applyProtection="1">
      <alignment horizontal="left"/>
    </xf>
    <xf numFmtId="10" fontId="66" fillId="0" borderId="10" xfId="0" applyNumberFormat="1" applyFont="1" applyFill="1" applyBorder="1" applyAlignment="1" applyProtection="1">
      <alignment horizontal="left"/>
    </xf>
    <xf numFmtId="0" fontId="67" fillId="0" borderId="9" xfId="0" applyFont="1" applyFill="1" applyBorder="1" applyAlignment="1" applyProtection="1">
      <alignment horizontal="left"/>
    </xf>
    <xf numFmtId="0" fontId="67" fillId="0" borderId="12" xfId="0" applyFont="1" applyFill="1" applyBorder="1" applyAlignment="1" applyProtection="1">
      <alignment horizontal="left"/>
    </xf>
    <xf numFmtId="0" fontId="26" fillId="4" borderId="71" xfId="0" applyFont="1" applyFill="1" applyBorder="1" applyAlignment="1" applyProtection="1">
      <alignment horizontal="center"/>
      <protection locked="0"/>
    </xf>
    <xf numFmtId="0" fontId="26" fillId="4" borderId="72" xfId="0" applyFont="1" applyFill="1" applyBorder="1" applyAlignment="1" applyProtection="1">
      <alignment horizontal="center"/>
      <protection locked="0"/>
    </xf>
    <xf numFmtId="0" fontId="40" fillId="3" borderId="100" xfId="0" applyFont="1" applyFill="1" applyBorder="1" applyAlignment="1" applyProtection="1">
      <alignment horizontal="center" vertical="center" textRotation="90" wrapText="1"/>
    </xf>
    <xf numFmtId="0" fontId="40" fillId="3" borderId="67" xfId="0" applyFont="1" applyFill="1" applyBorder="1" applyAlignment="1" applyProtection="1">
      <alignment horizontal="center" vertical="center" textRotation="90" wrapText="1"/>
    </xf>
    <xf numFmtId="0" fontId="40" fillId="3" borderId="101" xfId="0" applyFont="1" applyFill="1" applyBorder="1" applyAlignment="1" applyProtection="1">
      <alignment horizontal="center" vertical="center" textRotation="90" wrapText="1"/>
    </xf>
    <xf numFmtId="0" fontId="40" fillId="3" borderId="66" xfId="0" applyFont="1" applyFill="1" applyBorder="1" applyAlignment="1" applyProtection="1">
      <alignment horizontal="center" vertical="center" textRotation="90" wrapText="1"/>
    </xf>
    <xf numFmtId="0" fontId="40" fillId="3" borderId="102" xfId="0" applyFont="1" applyFill="1" applyBorder="1" applyAlignment="1" applyProtection="1">
      <alignment horizontal="center" vertical="center" textRotation="90" wrapText="1"/>
    </xf>
    <xf numFmtId="0" fontId="40" fillId="3" borderId="170" xfId="0" applyFont="1" applyFill="1" applyBorder="1" applyAlignment="1" applyProtection="1">
      <alignment horizontal="center" vertical="center" textRotation="90" wrapText="1"/>
    </xf>
    <xf numFmtId="0" fontId="26" fillId="0" borderId="71" xfId="0" quotePrefix="1" applyFont="1" applyBorder="1" applyAlignment="1" applyProtection="1">
      <alignment horizontal="center" vertical="center"/>
    </xf>
    <xf numFmtId="0" fontId="26" fillId="0" borderId="72" xfId="0" applyFont="1" applyBorder="1" applyAlignment="1" applyProtection="1">
      <alignment horizontal="center" vertical="center"/>
    </xf>
    <xf numFmtId="0" fontId="26" fillId="3" borderId="100" xfId="0" applyFont="1" applyFill="1" applyBorder="1" applyAlignment="1" applyProtection="1">
      <alignment horizontal="center" vertical="center" wrapText="1"/>
    </xf>
    <xf numFmtId="0" fontId="26" fillId="3" borderId="67" xfId="0" applyFont="1" applyFill="1" applyBorder="1" applyAlignment="1" applyProtection="1">
      <alignment horizontal="center" vertical="center" wrapText="1"/>
    </xf>
    <xf numFmtId="0" fontId="26" fillId="3" borderId="101" xfId="0" applyFont="1" applyFill="1" applyBorder="1" applyAlignment="1" applyProtection="1">
      <alignment horizontal="center" vertical="center" wrapText="1"/>
    </xf>
    <xf numFmtId="0" fontId="26" fillId="3" borderId="66" xfId="0" applyFont="1" applyFill="1" applyBorder="1" applyAlignment="1" applyProtection="1">
      <alignment horizontal="center" vertical="center" wrapText="1"/>
    </xf>
    <xf numFmtId="0" fontId="26" fillId="3" borderId="11" xfId="0" applyFont="1" applyFill="1" applyBorder="1" applyAlignment="1" applyProtection="1">
      <alignment horizontal="center"/>
    </xf>
    <xf numFmtId="170" fontId="26" fillId="4" borderId="11" xfId="0" applyNumberFormat="1" applyFont="1" applyFill="1" applyBorder="1" applyAlignment="1" applyProtection="1">
      <alignment horizontal="center"/>
      <protection locked="0"/>
    </xf>
    <xf numFmtId="0" fontId="26" fillId="4" borderId="11" xfId="2" applyNumberFormat="1" applyFont="1" applyFill="1" applyBorder="1" applyAlignment="1" applyProtection="1">
      <alignment horizontal="center"/>
      <protection locked="0"/>
    </xf>
    <xf numFmtId="0" fontId="26" fillId="0" borderId="11" xfId="0" applyFont="1" applyBorder="1" applyAlignment="1" applyProtection="1">
      <alignment horizontal="center"/>
    </xf>
    <xf numFmtId="170" fontId="26" fillId="4" borderId="11" xfId="0" applyNumberFormat="1" applyFont="1" applyFill="1" applyBorder="1" applyAlignment="1" applyProtection="1">
      <protection locked="0"/>
    </xf>
    <xf numFmtId="170" fontId="26" fillId="3" borderId="16" xfId="0" applyNumberFormat="1" applyFont="1" applyFill="1" applyBorder="1" applyAlignment="1" applyProtection="1"/>
    <xf numFmtId="170" fontId="26" fillId="3" borderId="25" xfId="0" applyNumberFormat="1" applyFont="1" applyFill="1" applyBorder="1" applyAlignment="1" applyProtection="1"/>
    <xf numFmtId="170" fontId="26" fillId="3" borderId="26" xfId="0" applyNumberFormat="1" applyFont="1" applyFill="1" applyBorder="1" applyAlignment="1" applyProtection="1"/>
    <xf numFmtId="170" fontId="26" fillId="3" borderId="19" xfId="0" applyNumberFormat="1" applyFont="1" applyFill="1" applyBorder="1" applyAlignment="1" applyProtection="1"/>
    <xf numFmtId="14" fontId="26" fillId="4" borderId="8" xfId="0" applyNumberFormat="1" applyFont="1" applyFill="1" applyBorder="1" applyAlignment="1" applyProtection="1">
      <alignment horizontal="center"/>
      <protection locked="0"/>
    </xf>
    <xf numFmtId="0" fontId="26" fillId="0" borderId="0" xfId="0" applyFont="1" applyFill="1" applyBorder="1" applyAlignment="1" applyProtection="1"/>
    <xf numFmtId="0" fontId="26" fillId="0" borderId="4" xfId="0" applyFont="1" applyFill="1" applyBorder="1" applyAlignment="1" applyProtection="1"/>
    <xf numFmtId="0" fontId="29" fillId="3" borderId="9" xfId="0" applyFont="1" applyFill="1" applyBorder="1" applyAlignment="1" applyProtection="1">
      <alignment horizontal="center"/>
    </xf>
    <xf numFmtId="0" fontId="29" fillId="3" borderId="12" xfId="0" applyFont="1" applyFill="1" applyBorder="1" applyAlignment="1" applyProtection="1">
      <alignment horizontal="center"/>
    </xf>
    <xf numFmtId="0" fontId="26" fillId="0" borderId="10" xfId="0" applyFont="1" applyBorder="1" applyAlignment="1" applyProtection="1"/>
    <xf numFmtId="0" fontId="26" fillId="0" borderId="9" xfId="0" applyFont="1" applyBorder="1" applyAlignment="1" applyProtection="1"/>
    <xf numFmtId="0" fontId="29" fillId="0" borderId="9" xfId="0" applyFont="1" applyBorder="1" applyAlignment="1" applyProtection="1"/>
    <xf numFmtId="0" fontId="29" fillId="0" borderId="12" xfId="0" applyFont="1" applyBorder="1" applyAlignment="1" applyProtection="1"/>
    <xf numFmtId="7" fontId="26" fillId="4" borderId="10" xfId="0" applyNumberFormat="1" applyFont="1" applyFill="1" applyBorder="1" applyAlignment="1" applyProtection="1">
      <alignment horizontal="center"/>
    </xf>
    <xf numFmtId="7" fontId="26" fillId="4" borderId="12" xfId="0" applyNumberFormat="1" applyFont="1" applyFill="1" applyBorder="1" applyAlignment="1" applyProtection="1">
      <alignment horizontal="center"/>
    </xf>
    <xf numFmtId="0" fontId="29" fillId="3" borderId="6" xfId="0" applyFont="1" applyFill="1" applyBorder="1" applyAlignment="1" applyProtection="1">
      <alignment horizontal="center"/>
    </xf>
    <xf numFmtId="7" fontId="26" fillId="6" borderId="25" xfId="0" applyNumberFormat="1" applyFont="1" applyFill="1" applyBorder="1" applyAlignment="1" applyProtection="1">
      <alignment horizontal="center"/>
    </xf>
    <xf numFmtId="7" fontId="26" fillId="6" borderId="19" xfId="0" applyNumberFormat="1" applyFont="1" applyFill="1" applyBorder="1" applyAlignment="1" applyProtection="1">
      <alignment horizontal="center"/>
    </xf>
    <xf numFmtId="0" fontId="26" fillId="0" borderId="0" xfId="0" applyFont="1" applyFill="1" applyBorder="1" applyAlignment="1" applyProtection="1">
      <alignment horizontal="left"/>
    </xf>
    <xf numFmtId="0" fontId="29" fillId="0" borderId="0" xfId="0" applyFont="1" applyAlignment="1" applyProtection="1">
      <alignment horizontal="left"/>
    </xf>
    <xf numFmtId="0" fontId="26" fillId="6" borderId="8" xfId="0" applyFont="1" applyFill="1" applyBorder="1" applyAlignment="1" applyProtection="1">
      <alignment horizontal="center"/>
    </xf>
    <xf numFmtId="44" fontId="26" fillId="4" borderId="8" xfId="0" applyNumberFormat="1" applyFont="1" applyFill="1" applyBorder="1" applyAlignment="1" applyProtection="1">
      <alignment horizontal="center"/>
    </xf>
    <xf numFmtId="14" fontId="26" fillId="6" borderId="8" xfId="0" applyNumberFormat="1" applyFont="1" applyFill="1" applyBorder="1" applyAlignment="1" applyProtection="1">
      <alignment horizontal="center"/>
    </xf>
    <xf numFmtId="39" fontId="26" fillId="6" borderId="8" xfId="0" applyNumberFormat="1" applyFont="1" applyFill="1" applyBorder="1" applyAlignment="1" applyProtection="1">
      <alignment horizontal="center"/>
    </xf>
    <xf numFmtId="37" fontId="26" fillId="6" borderId="8" xfId="0" applyNumberFormat="1" applyFont="1" applyFill="1" applyBorder="1" applyAlignment="1" applyProtection="1">
      <alignment horizontal="center"/>
    </xf>
    <xf numFmtId="0" fontId="29" fillId="3" borderId="2" xfId="0" applyFont="1" applyFill="1" applyBorder="1" applyAlignment="1" applyProtection="1">
      <alignment horizontal="center"/>
    </xf>
    <xf numFmtId="7" fontId="26" fillId="4" borderId="10" xfId="0" applyNumberFormat="1" applyFont="1" applyFill="1" applyBorder="1" applyAlignment="1" applyProtection="1">
      <alignment horizontal="center"/>
      <protection locked="0"/>
    </xf>
    <xf numFmtId="7" fontId="26" fillId="4" borderId="12" xfId="0" applyNumberFormat="1" applyFont="1" applyFill="1" applyBorder="1" applyAlignment="1" applyProtection="1">
      <alignment horizontal="center"/>
      <protection locked="0"/>
    </xf>
    <xf numFmtId="0" fontId="26" fillId="0" borderId="0" xfId="0" applyFont="1" applyFill="1" applyAlignment="1" applyProtection="1"/>
    <xf numFmtId="0" fontId="26" fillId="0" borderId="0" xfId="0" applyFont="1" applyFill="1" applyAlignment="1" applyProtection="1">
      <alignment horizontal="justify" wrapText="1"/>
    </xf>
    <xf numFmtId="0" fontId="26" fillId="0" borderId="38" xfId="0" applyFont="1" applyFill="1" applyBorder="1" applyAlignment="1" applyProtection="1">
      <alignment horizontal="center" wrapText="1"/>
    </xf>
    <xf numFmtId="0" fontId="26" fillId="0" borderId="36" xfId="0" applyFont="1" applyFill="1" applyBorder="1" applyAlignment="1" applyProtection="1">
      <alignment horizontal="center" wrapText="1"/>
    </xf>
    <xf numFmtId="0" fontId="26" fillId="0" borderId="37" xfId="0" applyFont="1" applyFill="1" applyBorder="1" applyAlignment="1" applyProtection="1">
      <alignment horizontal="center" wrapText="1"/>
    </xf>
    <xf numFmtId="0" fontId="26" fillId="0" borderId="151" xfId="0" applyFont="1" applyBorder="1" applyAlignment="1" applyProtection="1">
      <alignment horizontal="center" wrapText="1"/>
    </xf>
    <xf numFmtId="0" fontId="26" fillId="0" borderId="152" xfId="0" applyFont="1" applyBorder="1" applyAlignment="1" applyProtection="1">
      <alignment horizontal="center" wrapText="1"/>
    </xf>
    <xf numFmtId="0" fontId="26" fillId="0" borderId="112" xfId="0" applyFont="1" applyBorder="1" applyAlignment="1" applyProtection="1">
      <alignment horizontal="center" wrapText="1"/>
    </xf>
    <xf numFmtId="0" fontId="26" fillId="0" borderId="44" xfId="0" applyFont="1" applyBorder="1" applyAlignment="1" applyProtection="1">
      <alignment horizontal="center" wrapText="1"/>
    </xf>
    <xf numFmtId="0" fontId="26" fillId="0" borderId="155" xfId="0" applyFont="1" applyBorder="1" applyAlignment="1" applyProtection="1">
      <alignment horizontal="center" wrapText="1"/>
    </xf>
    <xf numFmtId="0" fontId="26" fillId="0" borderId="156" xfId="0" applyFont="1" applyBorder="1" applyAlignment="1" applyProtection="1">
      <alignment horizontal="center" wrapText="1"/>
    </xf>
    <xf numFmtId="0" fontId="26" fillId="0" borderId="112" xfId="0" applyFont="1" applyBorder="1" applyAlignment="1" applyProtection="1">
      <alignment horizontal="center" vertical="center"/>
    </xf>
    <xf numFmtId="0" fontId="26" fillId="0" borderId="44" xfId="0" applyFont="1" applyBorder="1" applyAlignment="1" applyProtection="1">
      <alignment horizontal="center" vertical="center"/>
    </xf>
    <xf numFmtId="0" fontId="26" fillId="0" borderId="112" xfId="0" applyFont="1" applyFill="1" applyBorder="1" applyAlignment="1" applyProtection="1">
      <alignment horizontal="center" vertical="center"/>
    </xf>
    <xf numFmtId="0" fontId="26" fillId="0" borderId="44" xfId="0" applyFont="1" applyFill="1" applyBorder="1" applyAlignment="1" applyProtection="1">
      <alignment horizontal="center" vertical="center"/>
    </xf>
    <xf numFmtId="0" fontId="26" fillId="0" borderId="112" xfId="0" applyFont="1" applyFill="1" applyBorder="1" applyAlignment="1" applyProtection="1">
      <alignment horizontal="center" vertical="center" wrapText="1"/>
    </xf>
    <xf numFmtId="0" fontId="26" fillId="0" borderId="44" xfId="0" applyFont="1" applyFill="1" applyBorder="1" applyAlignment="1" applyProtection="1">
      <alignment horizontal="center" vertical="center" wrapText="1"/>
    </xf>
    <xf numFmtId="0" fontId="26" fillId="0" borderId="112" xfId="0" applyFont="1" applyBorder="1" applyAlignment="1" applyProtection="1">
      <alignment horizontal="center"/>
    </xf>
    <xf numFmtId="0" fontId="26" fillId="0" borderId="44" xfId="0" applyFont="1" applyBorder="1" applyAlignment="1" applyProtection="1">
      <alignment horizontal="center"/>
    </xf>
    <xf numFmtId="7" fontId="26" fillId="3" borderId="25" xfId="0" applyNumberFormat="1" applyFont="1" applyFill="1" applyBorder="1" applyAlignment="1" applyProtection="1">
      <alignment horizontal="center"/>
    </xf>
    <xf numFmtId="7" fontId="26" fillId="3" borderId="19" xfId="0" applyNumberFormat="1" applyFont="1" applyFill="1" applyBorder="1" applyAlignment="1" applyProtection="1">
      <alignment horizontal="center"/>
    </xf>
    <xf numFmtId="0" fontId="26" fillId="3" borderId="10" xfId="0" applyNumberFormat="1" applyFont="1" applyFill="1" applyBorder="1" applyAlignment="1" applyProtection="1">
      <alignment horizontal="center"/>
    </xf>
    <xf numFmtId="0" fontId="26" fillId="3" borderId="12" xfId="0" applyNumberFormat="1" applyFont="1" applyFill="1" applyBorder="1" applyAlignment="1" applyProtection="1">
      <alignment horizontal="center"/>
    </xf>
    <xf numFmtId="170" fontId="26" fillId="3" borderId="10" xfId="0" applyNumberFormat="1" applyFont="1" applyFill="1" applyBorder="1" applyAlignment="1" applyProtection="1">
      <alignment horizontal="center"/>
    </xf>
    <xf numFmtId="170" fontId="26" fillId="3" borderId="12" xfId="0" applyNumberFormat="1" applyFont="1" applyFill="1" applyBorder="1" applyAlignment="1" applyProtection="1">
      <alignment horizontal="center"/>
    </xf>
    <xf numFmtId="9" fontId="26" fillId="3" borderId="5" xfId="0" applyNumberFormat="1" applyFont="1" applyFill="1" applyBorder="1" applyAlignment="1" applyProtection="1">
      <alignment horizontal="center"/>
    </xf>
    <xf numFmtId="9" fontId="26" fillId="3" borderId="6" xfId="0" applyNumberFormat="1" applyFont="1" applyFill="1" applyBorder="1" applyAlignment="1" applyProtection="1">
      <alignment horizontal="center"/>
    </xf>
    <xf numFmtId="0" fontId="26" fillId="0" borderId="10" xfId="0" applyFont="1" applyBorder="1" applyAlignment="1" applyProtection="1">
      <alignment horizontal="center" wrapText="1"/>
    </xf>
    <xf numFmtId="0" fontId="26" fillId="0" borderId="12" xfId="0" applyFont="1" applyBorder="1" applyAlignment="1" applyProtection="1">
      <alignment horizontal="center" wrapText="1"/>
    </xf>
    <xf numFmtId="0" fontId="26" fillId="3" borderId="25" xfId="0" applyNumberFormat="1" applyFont="1" applyFill="1" applyBorder="1" applyAlignment="1" applyProtection="1">
      <alignment horizontal="center"/>
    </xf>
    <xf numFmtId="0" fontId="26" fillId="3" borderId="19" xfId="0" applyNumberFormat="1" applyFont="1" applyFill="1" applyBorder="1" applyAlignment="1" applyProtection="1">
      <alignment horizontal="center"/>
    </xf>
    <xf numFmtId="0" fontId="72" fillId="0" borderId="0" xfId="82" applyAlignment="1" applyProtection="1">
      <alignment horizontal="left" wrapText="1"/>
    </xf>
    <xf numFmtId="0" fontId="54" fillId="0" borderId="0" xfId="0" applyFont="1" applyAlignment="1" applyProtection="1">
      <alignment horizontal="center"/>
    </xf>
    <xf numFmtId="0" fontId="26" fillId="0" borderId="12" xfId="0" applyFont="1" applyFill="1" applyBorder="1" applyAlignment="1" applyProtection="1">
      <alignment horizontal="center" wrapText="1"/>
    </xf>
    <xf numFmtId="0" fontId="27" fillId="0" borderId="0" xfId="0" applyFont="1" applyAlignment="1" applyProtection="1">
      <alignment horizontal="justify" vertical="center" wrapText="1"/>
    </xf>
    <xf numFmtId="0" fontId="26" fillId="0" borderId="4" xfId="0" applyFont="1" applyBorder="1" applyAlignment="1" applyProtection="1">
      <alignment horizontal="left"/>
    </xf>
    <xf numFmtId="0" fontId="26" fillId="0" borderId="3" xfId="0" applyFont="1" applyBorder="1" applyAlignment="1" applyProtection="1">
      <alignment horizontal="left" indent="1"/>
    </xf>
    <xf numFmtId="0" fontId="26" fillId="0" borderId="0" xfId="0" applyFont="1" applyAlignment="1" applyProtection="1">
      <alignment horizontal="left" indent="1"/>
    </xf>
    <xf numFmtId="0" fontId="83" fillId="0" borderId="0" xfId="0" applyFont="1" applyAlignment="1" applyProtection="1">
      <alignment horizontal="center"/>
    </xf>
    <xf numFmtId="0" fontId="26" fillId="4" borderId="10" xfId="0" applyFont="1" applyFill="1" applyBorder="1" applyAlignment="1" applyProtection="1">
      <alignment horizontal="left" wrapText="1"/>
      <protection locked="0"/>
    </xf>
    <xf numFmtId="0" fontId="26" fillId="4" borderId="9" xfId="0" applyFont="1" applyFill="1" applyBorder="1" applyAlignment="1" applyProtection="1">
      <alignment horizontal="left" wrapText="1"/>
      <protection locked="0"/>
    </xf>
    <xf numFmtId="0" fontId="26" fillId="4" borderId="12" xfId="0" applyFont="1" applyFill="1" applyBorder="1" applyAlignment="1" applyProtection="1">
      <alignment horizontal="left" wrapText="1"/>
      <protection locked="0"/>
    </xf>
    <xf numFmtId="0" fontId="26" fillId="0" borderId="9" xfId="0" applyFont="1" applyFill="1" applyBorder="1" applyAlignment="1" applyProtection="1"/>
    <xf numFmtId="0" fontId="26" fillId="0" borderId="12" xfId="0" applyFont="1" applyFill="1" applyBorder="1" applyAlignment="1" applyProtection="1"/>
    <xf numFmtId="10" fontId="26" fillId="4" borderId="8" xfId="0" applyNumberFormat="1" applyFont="1" applyFill="1" applyBorder="1" applyAlignment="1" applyProtection="1">
      <alignment horizontal="center"/>
      <protection locked="0"/>
    </xf>
    <xf numFmtId="0" fontId="26" fillId="0" borderId="0" xfId="0" applyFont="1" applyAlignment="1" applyProtection="1">
      <alignment horizontal="right"/>
    </xf>
    <xf numFmtId="0" fontId="26" fillId="3" borderId="12" xfId="0" applyFont="1" applyFill="1" applyBorder="1" applyAlignment="1" applyProtection="1">
      <alignment horizontal="center" wrapText="1"/>
    </xf>
    <xf numFmtId="170" fontId="26" fillId="4" borderId="10" xfId="0" applyNumberFormat="1" applyFont="1" applyFill="1" applyBorder="1" applyAlignment="1" applyProtection="1">
      <alignment horizontal="center"/>
      <protection locked="0"/>
    </xf>
    <xf numFmtId="170" fontId="26" fillId="4" borderId="12" xfId="0" applyNumberFormat="1" applyFont="1" applyFill="1" applyBorder="1" applyAlignment="1" applyProtection="1">
      <alignment horizontal="center"/>
      <protection locked="0"/>
    </xf>
    <xf numFmtId="0" fontId="26" fillId="4" borderId="10" xfId="0" applyFont="1" applyFill="1" applyBorder="1" applyAlignment="1" applyProtection="1">
      <protection locked="0"/>
    </xf>
    <xf numFmtId="0" fontId="26" fillId="4" borderId="9" xfId="0" applyFont="1" applyFill="1" applyBorder="1" applyAlignment="1" applyProtection="1">
      <protection locked="0"/>
    </xf>
    <xf numFmtId="0" fontId="26" fillId="4" borderId="12" xfId="0" applyFont="1" applyFill="1" applyBorder="1" applyAlignment="1" applyProtection="1">
      <protection locked="0"/>
    </xf>
    <xf numFmtId="0" fontId="26" fillId="0" borderId="10" xfId="0" applyFont="1" applyBorder="1" applyAlignment="1" applyProtection="1">
      <alignment horizontal="justify" wrapText="1"/>
    </xf>
    <xf numFmtId="0" fontId="29" fillId="0" borderId="9" xfId="0" applyFont="1" applyBorder="1" applyAlignment="1" applyProtection="1">
      <alignment horizontal="justify" wrapText="1"/>
    </xf>
    <xf numFmtId="0" fontId="29" fillId="0" borderId="12" xfId="0" applyFont="1" applyBorder="1" applyAlignment="1" applyProtection="1">
      <alignment horizontal="justify" wrapText="1"/>
    </xf>
    <xf numFmtId="2" fontId="26" fillId="3" borderId="10" xfId="0" applyNumberFormat="1" applyFont="1" applyFill="1" applyBorder="1" applyAlignment="1" applyProtection="1">
      <alignment horizontal="right"/>
    </xf>
    <xf numFmtId="2" fontId="26" fillId="3" borderId="12" xfId="0" applyNumberFormat="1" applyFont="1" applyFill="1" applyBorder="1" applyAlignment="1" applyProtection="1">
      <alignment horizontal="right"/>
    </xf>
    <xf numFmtId="170" fontId="26" fillId="3" borderId="10" xfId="0" applyNumberFormat="1" applyFont="1" applyFill="1" applyBorder="1" applyAlignment="1" applyProtection="1">
      <alignment horizontal="right"/>
    </xf>
    <xf numFmtId="170" fontId="26" fillId="3" borderId="12" xfId="0" applyNumberFormat="1" applyFont="1" applyFill="1" applyBorder="1" applyAlignment="1" applyProtection="1">
      <alignment horizontal="right"/>
    </xf>
    <xf numFmtId="0" fontId="26" fillId="0" borderId="9" xfId="0" applyFont="1" applyBorder="1" applyAlignment="1" applyProtection="1">
      <alignment horizontal="justify" wrapText="1"/>
    </xf>
    <xf numFmtId="0" fontId="26" fillId="0" borderId="12" xfId="0" applyFont="1" applyBorder="1" applyAlignment="1" applyProtection="1">
      <alignment horizontal="justify" wrapText="1"/>
    </xf>
    <xf numFmtId="0" fontId="26" fillId="0" borderId="12" xfId="0" applyFont="1" applyBorder="1" applyAlignment="1" applyProtection="1"/>
    <xf numFmtId="170" fontId="26" fillId="4" borderId="10" xfId="0" applyNumberFormat="1" applyFont="1" applyFill="1" applyBorder="1" applyAlignment="1" applyProtection="1">
      <alignment horizontal="right"/>
      <protection locked="0"/>
    </xf>
    <xf numFmtId="170" fontId="26" fillId="4" borderId="12" xfId="0" applyNumberFormat="1" applyFont="1" applyFill="1" applyBorder="1" applyAlignment="1" applyProtection="1">
      <alignment horizontal="right"/>
      <protection locked="0"/>
    </xf>
    <xf numFmtId="7" fontId="26" fillId="0" borderId="10" xfId="0" applyNumberFormat="1" applyFont="1" applyBorder="1" applyAlignment="1" applyProtection="1">
      <alignment horizontal="center"/>
    </xf>
    <xf numFmtId="7" fontId="26" fillId="0" borderId="12" xfId="0" applyNumberFormat="1" applyFont="1" applyBorder="1" applyAlignment="1" applyProtection="1">
      <alignment horizontal="center"/>
    </xf>
    <xf numFmtId="10" fontId="26" fillId="4" borderId="10" xfId="0" applyNumberFormat="1" applyFont="1" applyFill="1" applyBorder="1" applyAlignment="1" applyProtection="1">
      <alignment horizontal="right"/>
      <protection locked="0"/>
    </xf>
    <xf numFmtId="10" fontId="26" fillId="4" borderId="12" xfId="0" applyNumberFormat="1" applyFont="1" applyFill="1" applyBorder="1" applyAlignment="1" applyProtection="1">
      <alignment horizontal="right"/>
      <protection locked="0"/>
    </xf>
    <xf numFmtId="0" fontId="26" fillId="0" borderId="10" xfId="0" applyFont="1" applyBorder="1" applyProtection="1"/>
    <xf numFmtId="0" fontId="26" fillId="0" borderId="12" xfId="0" applyFont="1" applyBorder="1" applyProtection="1"/>
    <xf numFmtId="0" fontId="26" fillId="3" borderId="10" xfId="0" applyFont="1" applyFill="1" applyBorder="1" applyAlignment="1" applyProtection="1"/>
    <xf numFmtId="0" fontId="26" fillId="3" borderId="9" xfId="0" applyFont="1" applyFill="1" applyBorder="1" applyAlignment="1" applyProtection="1"/>
    <xf numFmtId="0" fontId="26" fillId="3" borderId="12" xfId="0" applyFont="1" applyFill="1" applyBorder="1" applyAlignment="1" applyProtection="1"/>
    <xf numFmtId="7" fontId="26" fillId="3" borderId="10" xfId="0" applyNumberFormat="1" applyFont="1" applyFill="1" applyBorder="1" applyAlignment="1" applyProtection="1">
      <alignment horizontal="center"/>
    </xf>
    <xf numFmtId="7" fontId="26" fillId="3" borderId="12" xfId="0" applyNumberFormat="1" applyFont="1" applyFill="1" applyBorder="1" applyAlignment="1" applyProtection="1">
      <alignment horizontal="center"/>
    </xf>
    <xf numFmtId="0" fontId="26" fillId="0" borderId="121" xfId="0" applyFont="1" applyBorder="1" applyAlignment="1" applyProtection="1">
      <alignment horizontal="center" wrapText="1"/>
    </xf>
    <xf numFmtId="0" fontId="26" fillId="0" borderId="122" xfId="0" applyFont="1" applyBorder="1" applyAlignment="1" applyProtection="1">
      <alignment horizontal="center" wrapText="1"/>
    </xf>
    <xf numFmtId="0" fontId="26" fillId="0" borderId="91" xfId="0" applyFont="1" applyBorder="1" applyAlignment="1" applyProtection="1">
      <alignment horizontal="center" wrapText="1"/>
    </xf>
    <xf numFmtId="0" fontId="26" fillId="0" borderId="92" xfId="0" applyFont="1" applyBorder="1" applyAlignment="1" applyProtection="1">
      <alignment horizontal="center" wrapText="1"/>
    </xf>
    <xf numFmtId="170" fontId="26" fillId="4" borderId="10" xfId="0" applyNumberFormat="1" applyFont="1" applyFill="1" applyBorder="1" applyAlignment="1" applyProtection="1">
      <protection locked="0"/>
    </xf>
    <xf numFmtId="170" fontId="26" fillId="4" borderId="12" xfId="0" applyNumberFormat="1" applyFont="1" applyFill="1" applyBorder="1" applyAlignment="1" applyProtection="1">
      <protection locked="0"/>
    </xf>
    <xf numFmtId="0" fontId="28" fillId="3" borderId="22" xfId="0" applyFont="1" applyFill="1" applyBorder="1" applyAlignment="1" applyProtection="1">
      <alignment horizontal="center" wrapText="1"/>
    </xf>
    <xf numFmtId="0" fontId="28" fillId="3" borderId="13" xfId="0" applyFont="1" applyFill="1" applyBorder="1" applyAlignment="1" applyProtection="1">
      <alignment horizontal="center" wrapText="1"/>
    </xf>
    <xf numFmtId="0" fontId="26" fillId="0" borderId="9" xfId="1" applyNumberFormat="1" applyFont="1" applyFill="1" applyBorder="1" applyAlignment="1" applyProtection="1">
      <alignment horizontal="center" wrapText="1"/>
    </xf>
    <xf numFmtId="0" fontId="26" fillId="0" borderId="9" xfId="0" applyNumberFormat="1" applyFont="1" applyFill="1" applyBorder="1" applyAlignment="1" applyProtection="1">
      <alignment horizontal="left"/>
    </xf>
    <xf numFmtId="0" fontId="26" fillId="0" borderId="8" xfId="0" applyNumberFormat="1" applyFont="1" applyFill="1" applyBorder="1" applyAlignment="1" applyProtection="1">
      <alignment horizontal="left"/>
    </xf>
    <xf numFmtId="0" fontId="26" fillId="0" borderId="9" xfId="1" applyNumberFormat="1" applyFont="1" applyFill="1" applyBorder="1" applyAlignment="1" applyProtection="1">
      <alignment horizontal="center"/>
    </xf>
    <xf numFmtId="0" fontId="26" fillId="0" borderId="9" xfId="0" applyNumberFormat="1" applyFont="1" applyFill="1" applyBorder="1" applyProtection="1"/>
    <xf numFmtId="0" fontId="26" fillId="0" borderId="10" xfId="1" applyNumberFormat="1" applyFont="1" applyFill="1" applyBorder="1" applyAlignment="1" applyProtection="1">
      <alignment horizontal="left"/>
    </xf>
    <xf numFmtId="0" fontId="26" fillId="0" borderId="9" xfId="1" applyNumberFormat="1" applyFont="1" applyFill="1" applyBorder="1" applyAlignment="1" applyProtection="1">
      <alignment horizontal="left"/>
    </xf>
    <xf numFmtId="0" fontId="26" fillId="0" borderId="12" xfId="1" applyNumberFormat="1" applyFont="1" applyFill="1" applyBorder="1" applyAlignment="1" applyProtection="1">
      <alignment horizontal="left"/>
    </xf>
    <xf numFmtId="0" fontId="26" fillId="0" borderId="10" xfId="0" applyNumberFormat="1" applyFont="1" applyFill="1" applyBorder="1" applyAlignment="1" applyProtection="1">
      <alignment horizontal="left"/>
    </xf>
    <xf numFmtId="0" fontId="26" fillId="0" borderId="12" xfId="0" applyNumberFormat="1" applyFont="1" applyFill="1" applyBorder="1" applyAlignment="1" applyProtection="1">
      <alignment horizontal="left"/>
    </xf>
    <xf numFmtId="0" fontId="26" fillId="0" borderId="10" xfId="1" applyNumberFormat="1" applyFont="1" applyFill="1" applyBorder="1" applyAlignment="1" applyProtection="1">
      <alignment horizontal="left" wrapText="1"/>
    </xf>
    <xf numFmtId="0" fontId="26" fillId="0" borderId="9" xfId="1" applyNumberFormat="1" applyFont="1" applyFill="1" applyBorder="1" applyAlignment="1" applyProtection="1">
      <alignment horizontal="left" wrapText="1"/>
    </xf>
    <xf numFmtId="0" fontId="26" fillId="0" borderId="12" xfId="1" applyNumberFormat="1" applyFont="1" applyFill="1" applyBorder="1" applyAlignment="1" applyProtection="1">
      <alignment horizontal="left" wrapText="1"/>
    </xf>
    <xf numFmtId="0" fontId="26" fillId="0" borderId="1" xfId="1" applyNumberFormat="1" applyFont="1" applyFill="1" applyBorder="1" applyAlignment="1" applyProtection="1">
      <alignment horizontal="left"/>
    </xf>
    <xf numFmtId="0" fontId="26" fillId="0" borderId="7" xfId="1" applyNumberFormat="1" applyFont="1" applyFill="1" applyBorder="1" applyAlignment="1" applyProtection="1">
      <alignment horizontal="left"/>
    </xf>
    <xf numFmtId="0" fontId="26" fillId="0" borderId="2" xfId="1" applyNumberFormat="1" applyFont="1" applyFill="1" applyBorder="1" applyAlignment="1" applyProtection="1">
      <alignment horizontal="left"/>
    </xf>
    <xf numFmtId="0" fontId="26" fillId="0" borderId="10" xfId="2" applyNumberFormat="1" applyFont="1" applyFill="1" applyBorder="1" applyAlignment="1" applyProtection="1">
      <alignment horizontal="left" wrapText="1"/>
    </xf>
    <xf numFmtId="0" fontId="26" fillId="0" borderId="9" xfId="2" applyNumberFormat="1" applyFont="1" applyFill="1" applyBorder="1" applyAlignment="1" applyProtection="1">
      <alignment horizontal="left" wrapText="1"/>
    </xf>
    <xf numFmtId="0" fontId="26" fillId="0" borderId="12" xfId="2" applyNumberFormat="1" applyFont="1" applyFill="1" applyBorder="1" applyAlignment="1" applyProtection="1">
      <alignment horizontal="left" wrapText="1"/>
    </xf>
    <xf numFmtId="44" fontId="26" fillId="3" borderId="10" xfId="0" applyNumberFormat="1" applyFont="1" applyFill="1" applyBorder="1" applyAlignment="1" applyProtection="1">
      <alignment horizontal="center"/>
    </xf>
    <xf numFmtId="0" fontId="29" fillId="0" borderId="9" xfId="0" applyFont="1" applyBorder="1"/>
    <xf numFmtId="0" fontId="29" fillId="0" borderId="12" xfId="0" applyFont="1" applyBorder="1"/>
    <xf numFmtId="0" fontId="26" fillId="0" borderId="10" xfId="0" applyNumberFormat="1" applyFont="1" applyFill="1" applyBorder="1" applyAlignment="1" applyProtection="1"/>
    <xf numFmtId="0" fontId="26" fillId="0" borderId="9" xfId="0" applyNumberFormat="1" applyFont="1" applyFill="1" applyBorder="1" applyAlignment="1" applyProtection="1"/>
    <xf numFmtId="0" fontId="26" fillId="0" borderId="12" xfId="0" applyNumberFormat="1" applyFont="1" applyFill="1" applyBorder="1" applyAlignment="1" applyProtection="1"/>
    <xf numFmtId="0" fontId="26" fillId="0" borderId="10" xfId="2" applyNumberFormat="1" applyFont="1" applyFill="1" applyBorder="1" applyAlignment="1" applyProtection="1">
      <alignment wrapText="1"/>
    </xf>
    <xf numFmtId="0" fontId="26" fillId="0" borderId="9" xfId="2" applyNumberFormat="1" applyFont="1" applyFill="1" applyBorder="1" applyAlignment="1" applyProtection="1">
      <alignment wrapText="1"/>
    </xf>
    <xf numFmtId="0" fontId="26" fillId="0" borderId="10" xfId="1" applyNumberFormat="1" applyFont="1" applyFill="1" applyBorder="1" applyAlignment="1" applyProtection="1">
      <alignment wrapText="1"/>
    </xf>
    <xf numFmtId="0" fontId="26" fillId="0" borderId="9" xfId="1" applyNumberFormat="1" applyFont="1" applyFill="1" applyBorder="1" applyAlignment="1" applyProtection="1">
      <alignment wrapText="1"/>
    </xf>
    <xf numFmtId="0" fontId="37" fillId="0" borderId="0" xfId="0" applyFont="1" applyAlignment="1" applyProtection="1">
      <alignment horizontal="center" vertical="top" wrapText="1"/>
    </xf>
    <xf numFmtId="0" fontId="28" fillId="0" borderId="147" xfId="0" applyFont="1" applyFill="1" applyBorder="1" applyAlignment="1" applyProtection="1">
      <alignment horizontal="center" wrapText="1"/>
    </xf>
    <xf numFmtId="0" fontId="28" fillId="0" borderId="148" xfId="0" applyFont="1" applyFill="1" applyBorder="1" applyAlignment="1" applyProtection="1">
      <alignment horizontal="center" wrapText="1"/>
    </xf>
    <xf numFmtId="0" fontId="26" fillId="0" borderId="0" xfId="0" applyFont="1" applyFill="1" applyAlignment="1" applyProtection="1">
      <alignment horizontal="left"/>
    </xf>
    <xf numFmtId="0" fontId="33" fillId="0" borderId="0" xfId="0" applyFont="1" applyFill="1" applyBorder="1" applyAlignment="1" applyProtection="1">
      <alignment horizontal="center" wrapText="1"/>
    </xf>
    <xf numFmtId="0" fontId="26" fillId="0" borderId="11" xfId="1" applyNumberFormat="1" applyFont="1" applyFill="1" applyBorder="1" applyAlignment="1" applyProtection="1">
      <alignment horizontal="left"/>
    </xf>
    <xf numFmtId="44" fontId="26" fillId="3" borderId="9" xfId="0" applyNumberFormat="1" applyFont="1" applyFill="1" applyBorder="1" applyAlignment="1" applyProtection="1">
      <alignment horizontal="center"/>
    </xf>
    <xf numFmtId="44" fontId="26" fillId="3" borderId="12" xfId="0" applyNumberFormat="1" applyFont="1" applyFill="1" applyBorder="1" applyAlignment="1" applyProtection="1">
      <alignment horizontal="center"/>
    </xf>
    <xf numFmtId="0" fontId="26" fillId="0" borderId="11" xfId="1" applyNumberFormat="1" applyFont="1" applyFill="1" applyBorder="1" applyAlignment="1" applyProtection="1">
      <alignment horizontal="left" wrapText="1"/>
    </xf>
    <xf numFmtId="0" fontId="26" fillId="0" borderId="5" xfId="1" applyNumberFormat="1" applyFont="1" applyFill="1" applyBorder="1" applyAlignment="1" applyProtection="1">
      <alignment horizontal="left"/>
    </xf>
    <xf numFmtId="0" fontId="26" fillId="0" borderId="8" xfId="1" applyNumberFormat="1" applyFont="1" applyFill="1" applyBorder="1" applyAlignment="1" applyProtection="1">
      <alignment horizontal="left"/>
    </xf>
    <xf numFmtId="0" fontId="26" fillId="0" borderId="6" xfId="1" applyNumberFormat="1" applyFont="1" applyFill="1" applyBorder="1" applyAlignment="1" applyProtection="1">
      <alignment horizontal="left"/>
    </xf>
    <xf numFmtId="0" fontId="29" fillId="0" borderId="9" xfId="0" applyNumberFormat="1" applyFont="1" applyFill="1" applyBorder="1" applyProtection="1"/>
    <xf numFmtId="0" fontId="26" fillId="0" borderId="89" xfId="0" applyFont="1" applyFill="1" applyBorder="1" applyAlignment="1" applyProtection="1">
      <alignment horizontal="center"/>
    </xf>
    <xf numFmtId="0" fontId="26" fillId="0" borderId="90" xfId="0" applyFont="1" applyFill="1" applyBorder="1" applyAlignment="1" applyProtection="1">
      <alignment horizontal="center"/>
    </xf>
    <xf numFmtId="0" fontId="61" fillId="0" borderId="0" xfId="0" applyFont="1" applyAlignment="1" applyProtection="1">
      <alignment horizontal="center" wrapText="1"/>
    </xf>
    <xf numFmtId="0" fontId="37" fillId="0" borderId="0" xfId="0" applyFont="1" applyFill="1" applyAlignment="1" applyProtection="1">
      <alignment horizontal="justify" wrapText="1"/>
    </xf>
    <xf numFmtId="0" fontId="26" fillId="0" borderId="0" xfId="0" applyFont="1" applyFill="1" applyProtection="1"/>
    <xf numFmtId="0" fontId="26" fillId="0" borderId="0" xfId="0" applyNumberFormat="1" applyFont="1" applyFill="1" applyBorder="1" applyAlignment="1" applyProtection="1"/>
    <xf numFmtId="0" fontId="26" fillId="0" borderId="11" xfId="0" applyNumberFormat="1" applyFont="1" applyFill="1" applyBorder="1" applyAlignment="1" applyProtection="1">
      <alignment horizontal="left"/>
    </xf>
    <xf numFmtId="0" fontId="29" fillId="0" borderId="9" xfId="0" applyNumberFormat="1" applyFont="1" applyFill="1" applyBorder="1" applyAlignment="1" applyProtection="1">
      <alignment wrapText="1"/>
    </xf>
    <xf numFmtId="0" fontId="26" fillId="0" borderId="0" xfId="0" applyFont="1" applyFill="1" applyAlignment="1" applyProtection="1">
      <alignment horizontal="left" wrapText="1"/>
    </xf>
    <xf numFmtId="0" fontId="26" fillId="0" borderId="4" xfId="0" applyFont="1" applyBorder="1" applyProtection="1"/>
    <xf numFmtId="0" fontId="26" fillId="0" borderId="0" xfId="0" applyFont="1" applyAlignment="1" applyProtection="1">
      <alignment wrapText="1"/>
    </xf>
    <xf numFmtId="0" fontId="26" fillId="8" borderId="0" xfId="0" quotePrefix="1" applyFont="1" applyFill="1" applyAlignment="1">
      <alignment horizontal="center"/>
    </xf>
    <xf numFmtId="0" fontId="44" fillId="47" borderId="0" xfId="0" applyFont="1" applyFill="1" applyAlignment="1" applyProtection="1">
      <alignment horizontal="center" wrapText="1"/>
    </xf>
    <xf numFmtId="0" fontId="25" fillId="0" borderId="0" xfId="0" applyFont="1" applyFill="1" applyAlignment="1" applyProtection="1">
      <alignment horizontal="center" wrapText="1"/>
    </xf>
    <xf numFmtId="0" fontId="40" fillId="0" borderId="10" xfId="0" applyFont="1" applyFill="1" applyBorder="1" applyAlignment="1" applyProtection="1">
      <alignment horizontal="center"/>
    </xf>
    <xf numFmtId="0" fontId="40" fillId="0" borderId="9" xfId="0" applyFont="1" applyFill="1" applyBorder="1" applyAlignment="1" applyProtection="1">
      <alignment horizontal="center"/>
    </xf>
    <xf numFmtId="0" fontId="40" fillId="0" borderId="12" xfId="0" applyFont="1" applyFill="1" applyBorder="1" applyAlignment="1" applyProtection="1">
      <alignment horizontal="center"/>
    </xf>
    <xf numFmtId="0" fontId="26" fillId="0" borderId="4" xfId="0" applyFont="1" applyBorder="1" applyAlignment="1" applyProtection="1">
      <alignment wrapText="1"/>
    </xf>
    <xf numFmtId="0" fontId="64" fillId="0" borderId="0" xfId="0" applyFont="1" applyAlignment="1" applyProtection="1">
      <alignment horizontal="center" wrapText="1"/>
    </xf>
    <xf numFmtId="0" fontId="26" fillId="0" borderId="4" xfId="0" applyFont="1" applyBorder="1" applyAlignment="1" applyProtection="1"/>
    <xf numFmtId="0" fontId="26" fillId="0" borderId="4" xfId="0" applyFont="1" applyBorder="1" applyAlignment="1" applyProtection="1">
      <alignment horizontal="justify" wrapText="1"/>
    </xf>
    <xf numFmtId="0" fontId="26" fillId="4" borderId="8" xfId="0" applyFont="1" applyFill="1" applyBorder="1" applyAlignment="1" applyProtection="1">
      <alignment wrapText="1"/>
      <protection locked="0"/>
    </xf>
    <xf numFmtId="2" fontId="26" fillId="3" borderId="10" xfId="0" applyNumberFormat="1" applyFont="1" applyFill="1" applyBorder="1" applyAlignment="1" applyProtection="1">
      <alignment horizontal="center"/>
    </xf>
    <xf numFmtId="2" fontId="26" fillId="3" borderId="12" xfId="0" applyNumberFormat="1" applyFont="1" applyFill="1" applyBorder="1" applyAlignment="1" applyProtection="1">
      <alignment horizontal="center"/>
    </xf>
    <xf numFmtId="0" fontId="51" fillId="0" borderId="0" xfId="0" applyFont="1" applyAlignment="1" applyProtection="1">
      <alignment horizontal="center"/>
    </xf>
    <xf numFmtId="0" fontId="0" fillId="0" borderId="0" xfId="0" applyAlignment="1">
      <alignment horizontal="left"/>
    </xf>
    <xf numFmtId="0" fontId="39" fillId="47" borderId="0" xfId="0" applyFont="1" applyFill="1" applyAlignment="1" applyProtection="1">
      <alignment horizontal="center" vertical="center" wrapText="1"/>
    </xf>
    <xf numFmtId="0" fontId="26" fillId="0" borderId="0" xfId="0" applyFont="1" applyBorder="1" applyAlignment="1" applyProtection="1">
      <alignment horizontal="left" indent="1"/>
    </xf>
    <xf numFmtId="0" fontId="26" fillId="0" borderId="0" xfId="0" applyFont="1" applyFill="1" applyBorder="1" applyAlignment="1" applyProtection="1">
      <alignment wrapText="1"/>
    </xf>
    <xf numFmtId="0" fontId="40" fillId="8" borderId="0" xfId="0" quotePrefix="1" applyFont="1" applyFill="1" applyAlignment="1" applyProtection="1">
      <alignment horizontal="center"/>
    </xf>
    <xf numFmtId="0" fontId="40" fillId="8" borderId="0" xfId="0" applyFont="1" applyFill="1" applyAlignment="1" applyProtection="1">
      <alignment horizontal="center"/>
    </xf>
    <xf numFmtId="0" fontId="44" fillId="47" borderId="0" xfId="0" applyFont="1" applyFill="1" applyAlignment="1" applyProtection="1">
      <alignment horizontal="center" vertical="center" wrapText="1"/>
    </xf>
    <xf numFmtId="0" fontId="26" fillId="8" borderId="0" xfId="0" quotePrefix="1" applyFont="1" applyFill="1" applyAlignment="1" applyProtection="1">
      <alignment horizontal="center"/>
    </xf>
    <xf numFmtId="0" fontId="26" fillId="8" borderId="0" xfId="0" applyFont="1" applyFill="1" applyAlignment="1" applyProtection="1">
      <alignment horizontal="center"/>
    </xf>
    <xf numFmtId="0" fontId="0" fillId="0" borderId="0" xfId="0" applyAlignment="1">
      <alignment horizontal="justify" wrapText="1"/>
    </xf>
    <xf numFmtId="0" fontId="26" fillId="0" borderId="0" xfId="3" applyFont="1" applyAlignment="1" applyProtection="1">
      <alignment horizontal="left" wrapText="1"/>
    </xf>
    <xf numFmtId="0" fontId="26" fillId="0" borderId="0" xfId="0" applyNumberFormat="1" applyFont="1" applyAlignment="1" applyProtection="1">
      <alignment horizontal="justify" wrapText="1"/>
    </xf>
    <xf numFmtId="0" fontId="26" fillId="0" borderId="0" xfId="3" applyFont="1" applyAlignment="1" applyProtection="1">
      <alignment horizontal="justify" wrapText="1"/>
    </xf>
    <xf numFmtId="0" fontId="26" fillId="0" borderId="38" xfId="0" applyFont="1" applyBorder="1" applyAlignment="1" applyProtection="1">
      <alignment horizontal="center" vertical="center" wrapText="1"/>
    </xf>
    <xf numFmtId="0" fontId="26" fillId="0" borderId="36" xfId="0" applyFont="1" applyBorder="1" applyAlignment="1" applyProtection="1">
      <alignment horizontal="center" vertical="center" wrapText="1"/>
    </xf>
    <xf numFmtId="0" fontId="26" fillId="0" borderId="0" xfId="3" applyFont="1" applyAlignment="1" applyProtection="1">
      <alignment horizontal="justify" vertical="top"/>
    </xf>
    <xf numFmtId="0" fontId="26" fillId="0" borderId="0" xfId="3" applyFont="1" applyAlignment="1" applyProtection="1">
      <alignment horizontal="justify"/>
    </xf>
    <xf numFmtId="0" fontId="37" fillId="0" borderId="0" xfId="3" applyFont="1" applyAlignment="1" applyProtection="1">
      <alignment horizontal="center" vertical="top" wrapText="1"/>
    </xf>
    <xf numFmtId="0" fontId="26" fillId="0" borderId="37" xfId="0" applyFont="1" applyBorder="1" applyAlignment="1" applyProtection="1">
      <alignment horizontal="center" vertical="center" wrapText="1"/>
    </xf>
    <xf numFmtId="0" fontId="26" fillId="0" borderId="0" xfId="3" applyFont="1" applyAlignment="1" applyProtection="1">
      <alignment vertical="top" wrapText="1"/>
    </xf>
    <xf numFmtId="0" fontId="26" fillId="0" borderId="0" xfId="0" applyFont="1" applyFill="1" applyAlignment="1" applyProtection="1">
      <alignment horizontal="justify" vertical="top" wrapText="1"/>
    </xf>
    <xf numFmtId="0" fontId="26" fillId="0" borderId="0" xfId="3" applyFont="1" applyAlignment="1" applyProtection="1">
      <alignment horizontal="left"/>
    </xf>
    <xf numFmtId="0" fontId="26" fillId="4" borderId="8" xfId="3" applyFont="1" applyFill="1" applyBorder="1" applyAlignment="1" applyProtection="1">
      <alignment horizontal="left"/>
      <protection locked="0"/>
    </xf>
    <xf numFmtId="0" fontId="39" fillId="47" borderId="0" xfId="3" applyFont="1" applyFill="1" applyBorder="1" applyAlignment="1" applyProtection="1">
      <alignment horizontal="center" vertical="center" wrapText="1"/>
    </xf>
    <xf numFmtId="0" fontId="26" fillId="0" borderId="0" xfId="3" applyFont="1" applyFill="1" applyBorder="1" applyAlignment="1" applyProtection="1">
      <alignment horizontal="justify" wrapText="1"/>
    </xf>
    <xf numFmtId="0" fontId="26" fillId="0" borderId="0" xfId="3" applyFont="1" applyAlignment="1" applyProtection="1"/>
    <xf numFmtId="0" fontId="26" fillId="0" borderId="0" xfId="3" applyFont="1" applyFill="1" applyBorder="1" applyAlignment="1" applyProtection="1">
      <alignment horizontal="justify" vertical="top" wrapText="1"/>
    </xf>
    <xf numFmtId="0" fontId="26" fillId="8" borderId="0" xfId="3" quotePrefix="1" applyFont="1" applyFill="1" applyBorder="1" applyAlignment="1" applyProtection="1">
      <alignment horizontal="center" wrapText="1"/>
    </xf>
    <xf numFmtId="0" fontId="26" fillId="8" borderId="0" xfId="3" applyFont="1" applyFill="1" applyBorder="1" applyAlignment="1" applyProtection="1">
      <alignment horizontal="center" wrapText="1"/>
    </xf>
    <xf numFmtId="0" fontId="26" fillId="0" borderId="0" xfId="3" applyFont="1" applyAlignment="1" applyProtection="1">
      <alignment wrapText="1"/>
    </xf>
    <xf numFmtId="0" fontId="26" fillId="0" borderId="0" xfId="3" applyFont="1" applyAlignment="1" applyProtection="1">
      <alignment horizontal="justify" vertical="top" wrapText="1"/>
    </xf>
    <xf numFmtId="0" fontId="70" fillId="47" borderId="112" xfId="3" applyFont="1" applyFill="1" applyBorder="1" applyAlignment="1" applyProtection="1">
      <alignment horizontal="center" wrapText="1"/>
    </xf>
    <xf numFmtId="0" fontId="70" fillId="47" borderId="0" xfId="3" applyFont="1" applyFill="1" applyBorder="1" applyAlignment="1" applyProtection="1">
      <alignment horizontal="center" wrapText="1"/>
    </xf>
    <xf numFmtId="0" fontId="26" fillId="3" borderId="8" xfId="0" applyFont="1" applyFill="1" applyBorder="1" applyAlignment="1" applyProtection="1">
      <alignment horizontal="left"/>
    </xf>
    <xf numFmtId="39" fontId="26" fillId="3" borderId="162" xfId="0" applyNumberFormat="1" applyFont="1" applyFill="1" applyBorder="1" applyAlignment="1" applyProtection="1">
      <alignment horizontal="center"/>
    </xf>
    <xf numFmtId="39" fontId="26" fillId="3" borderId="163" xfId="0" applyNumberFormat="1" applyFont="1" applyFill="1" applyBorder="1" applyAlignment="1" applyProtection="1">
      <alignment horizontal="center"/>
    </xf>
    <xf numFmtId="0" fontId="28" fillId="3" borderId="10" xfId="0" applyFont="1" applyFill="1" applyBorder="1" applyAlignment="1" applyProtection="1">
      <alignment horizontal="center"/>
    </xf>
    <xf numFmtId="0" fontId="28" fillId="3" borderId="12" xfId="0" applyFont="1" applyFill="1" applyBorder="1" applyAlignment="1" applyProtection="1">
      <alignment horizontal="center"/>
    </xf>
    <xf numFmtId="0" fontId="29" fillId="0" borderId="0" xfId="0" applyFont="1" applyFill="1" applyBorder="1" applyAlignment="1" applyProtection="1">
      <alignment vertical="top"/>
    </xf>
    <xf numFmtId="0" fontId="26" fillId="0" borderId="1" xfId="0" applyFont="1" applyBorder="1" applyAlignment="1" applyProtection="1"/>
    <xf numFmtId="0" fontId="26" fillId="0" borderId="7" xfId="0" applyFont="1" applyBorder="1" applyAlignment="1" applyProtection="1"/>
    <xf numFmtId="0" fontId="26" fillId="0" borderId="3" xfId="0" applyFont="1" applyBorder="1" applyAlignment="1" applyProtection="1"/>
    <xf numFmtId="0" fontId="26" fillId="3" borderId="1" xfId="0" applyFont="1" applyFill="1" applyBorder="1" applyAlignment="1" applyProtection="1">
      <alignment horizontal="center" wrapText="1"/>
    </xf>
    <xf numFmtId="0" fontId="26" fillId="3" borderId="2" xfId="0" applyFont="1" applyFill="1" applyBorder="1" applyAlignment="1" applyProtection="1">
      <alignment horizontal="center" wrapText="1"/>
    </xf>
    <xf numFmtId="2" fontId="26" fillId="4" borderId="10" xfId="0" applyNumberFormat="1" applyFont="1" applyFill="1" applyBorder="1" applyAlignment="1" applyProtection="1">
      <alignment horizontal="center" wrapText="1"/>
      <protection locked="0"/>
    </xf>
    <xf numFmtId="2" fontId="26" fillId="4" borderId="12" xfId="0" applyNumberFormat="1" applyFont="1" applyFill="1" applyBorder="1" applyAlignment="1" applyProtection="1">
      <alignment horizontal="center" wrapText="1"/>
      <protection locked="0"/>
    </xf>
    <xf numFmtId="39" fontId="26" fillId="3" borderId="161" xfId="81" applyNumberFormat="1" applyFont="1" applyFill="1" applyBorder="1" applyAlignment="1" applyProtection="1">
      <alignment horizontal="center"/>
    </xf>
    <xf numFmtId="39" fontId="26" fillId="3" borderId="17" xfId="81" applyNumberFormat="1" applyFont="1" applyFill="1" applyBorder="1" applyAlignment="1" applyProtection="1">
      <alignment horizontal="center"/>
    </xf>
    <xf numFmtId="0" fontId="26" fillId="3" borderId="8" xfId="3" applyFont="1" applyFill="1" applyBorder="1" applyAlignment="1" applyProtection="1">
      <alignment horizontal="left"/>
    </xf>
    <xf numFmtId="2" fontId="26" fillId="0" borderId="1" xfId="0" applyNumberFormat="1" applyFont="1" applyFill="1" applyBorder="1" applyAlignment="1" applyProtection="1"/>
    <xf numFmtId="2" fontId="26" fillId="0" borderId="7" xfId="0" applyNumberFormat="1" applyFont="1" applyFill="1" applyBorder="1" applyAlignment="1" applyProtection="1"/>
    <xf numFmtId="0" fontId="26" fillId="0" borderId="1" xfId="0" applyFont="1" applyBorder="1" applyAlignment="1" applyProtection="1">
      <alignment horizontal="left"/>
    </xf>
    <xf numFmtId="0" fontId="26" fillId="0" borderId="7" xfId="0" applyFont="1" applyBorder="1" applyAlignment="1" applyProtection="1">
      <alignment horizontal="justify" wrapText="1"/>
    </xf>
    <xf numFmtId="0" fontId="26" fillId="3" borderId="9" xfId="0" applyFont="1" applyFill="1" applyBorder="1" applyAlignment="1" applyProtection="1">
      <alignment horizontal="left"/>
    </xf>
    <xf numFmtId="14" fontId="26" fillId="0" borderId="8" xfId="0" applyNumberFormat="1" applyFont="1" applyFill="1" applyBorder="1" applyAlignment="1" applyProtection="1">
      <alignment horizontal="center"/>
    </xf>
    <xf numFmtId="0" fontId="26" fillId="0" borderId="8" xfId="0" applyFont="1" applyFill="1" applyBorder="1" applyAlignment="1" applyProtection="1">
      <alignment horizontal="center"/>
    </xf>
    <xf numFmtId="0" fontId="37" fillId="0" borderId="0" xfId="0" applyFont="1" applyBorder="1" applyAlignment="1" applyProtection="1">
      <alignment horizontal="justify" vertical="top" wrapText="1"/>
    </xf>
    <xf numFmtId="0" fontId="26" fillId="0" borderId="7" xfId="0" applyFont="1" applyFill="1" applyBorder="1" applyAlignment="1" applyProtection="1">
      <alignment horizontal="left" wrapText="1"/>
    </xf>
    <xf numFmtId="0" fontId="26" fillId="0" borderId="7" xfId="0" applyFont="1" applyFill="1" applyBorder="1" applyAlignment="1" applyProtection="1">
      <alignment horizontal="left" vertical="top"/>
    </xf>
    <xf numFmtId="0" fontId="75" fillId="0" borderId="0" xfId="0" applyFont="1" applyFill="1" applyBorder="1" applyAlignment="1" applyProtection="1">
      <alignment horizontal="justify"/>
    </xf>
    <xf numFmtId="0" fontId="75" fillId="0" borderId="44" xfId="0" applyFont="1" applyFill="1" applyBorder="1" applyAlignment="1" applyProtection="1">
      <alignment horizontal="justify"/>
    </xf>
    <xf numFmtId="0" fontId="75" fillId="0" borderId="0" xfId="0" applyFont="1" applyFill="1" applyBorder="1" applyAlignment="1" applyProtection="1">
      <alignment horizontal="left" vertical="top"/>
    </xf>
    <xf numFmtId="0" fontId="75" fillId="0" borderId="151" xfId="0" applyFont="1" applyFill="1" applyBorder="1" applyAlignment="1" applyProtection="1">
      <alignment horizontal="justify" vertical="top" wrapText="1"/>
    </xf>
    <xf numFmtId="0" fontId="75" fillId="0" borderId="39" xfId="0" applyFont="1" applyFill="1" applyBorder="1" applyAlignment="1" applyProtection="1">
      <alignment horizontal="justify" vertical="top" wrapText="1"/>
    </xf>
    <xf numFmtId="0" fontId="75" fillId="0" borderId="152" xfId="0" applyFont="1" applyFill="1" applyBorder="1" applyAlignment="1" applyProtection="1">
      <alignment horizontal="justify" vertical="top" wrapText="1"/>
    </xf>
    <xf numFmtId="0" fontId="75" fillId="0" borderId="112" xfId="0" applyFont="1" applyFill="1" applyBorder="1" applyAlignment="1" applyProtection="1">
      <alignment horizontal="justify" vertical="top" wrapText="1"/>
    </xf>
    <xf numFmtId="0" fontId="75" fillId="0" borderId="0" xfId="0" applyFont="1" applyFill="1" applyBorder="1" applyAlignment="1" applyProtection="1">
      <alignment horizontal="justify" vertical="top" wrapText="1"/>
    </xf>
    <xf numFmtId="0" fontId="75" fillId="0" borderId="44" xfId="0" applyFont="1" applyFill="1" applyBorder="1" applyAlignment="1" applyProtection="1">
      <alignment horizontal="justify" vertical="top" wrapText="1"/>
    </xf>
    <xf numFmtId="0" fontId="75" fillId="0" borderId="44" xfId="0" applyFont="1" applyFill="1" applyBorder="1" applyAlignment="1" applyProtection="1">
      <alignment horizontal="left" vertical="top"/>
    </xf>
    <xf numFmtId="0" fontId="81" fillId="0" borderId="0" xfId="0" applyFont="1" applyBorder="1" applyAlignment="1">
      <alignment horizontal="justify" vertical="center"/>
    </xf>
    <xf numFmtId="0" fontId="81" fillId="0" borderId="44" xfId="0" applyFont="1" applyBorder="1" applyAlignment="1">
      <alignment horizontal="justify" vertical="center"/>
    </xf>
    <xf numFmtId="0" fontId="75" fillId="0" borderId="0" xfId="0" applyFont="1" applyFill="1" applyBorder="1" applyAlignment="1" applyProtection="1">
      <alignment horizontal="justify" vertical="center"/>
    </xf>
    <xf numFmtId="0" fontId="75" fillId="0" borderId="44" xfId="0" applyFont="1" applyFill="1" applyBorder="1" applyAlignment="1" applyProtection="1">
      <alignment horizontal="justify" vertical="center"/>
    </xf>
    <xf numFmtId="0" fontId="75" fillId="0" borderId="0" xfId="0" applyFont="1" applyFill="1" applyBorder="1" applyAlignment="1" applyProtection="1">
      <alignment horizontal="left" vertical="center"/>
    </xf>
    <xf numFmtId="0" fontId="75" fillId="0" borderId="44" xfId="0" applyFont="1" applyFill="1" applyBorder="1" applyAlignment="1" applyProtection="1">
      <alignment horizontal="left" vertical="center"/>
    </xf>
    <xf numFmtId="0" fontId="37" fillId="0" borderId="0" xfId="0" applyFont="1" applyFill="1" applyAlignment="1" applyProtection="1">
      <alignment horizontal="center" vertical="top" wrapText="1"/>
    </xf>
    <xf numFmtId="0" fontId="37" fillId="0" borderId="0" xfId="0" applyFont="1" applyBorder="1" applyAlignment="1" applyProtection="1">
      <alignment horizontal="justify" wrapText="1"/>
    </xf>
    <xf numFmtId="0" fontId="37" fillId="0" borderId="0" xfId="0" applyFont="1" applyAlignment="1" applyProtection="1">
      <alignment wrapText="1"/>
    </xf>
    <xf numFmtId="0" fontId="75" fillId="0" borderId="0" xfId="0" applyFont="1" applyFill="1" applyBorder="1" applyAlignment="1" applyProtection="1">
      <alignment horizontal="left" vertical="top" wrapText="1"/>
    </xf>
    <xf numFmtId="0" fontId="75" fillId="0" borderId="44" xfId="0" applyFont="1" applyFill="1" applyBorder="1" applyAlignment="1" applyProtection="1">
      <alignment horizontal="left" vertical="top" wrapText="1"/>
    </xf>
    <xf numFmtId="0" fontId="75" fillId="0" borderId="0" xfId="0" applyFont="1" applyFill="1" applyBorder="1" applyAlignment="1" applyProtection="1">
      <alignment vertical="top" wrapText="1"/>
    </xf>
    <xf numFmtId="0" fontId="75" fillId="0" borderId="44" xfId="0" applyFont="1" applyFill="1" applyBorder="1" applyAlignment="1" applyProtection="1">
      <alignment vertical="top" wrapText="1"/>
    </xf>
    <xf numFmtId="0" fontId="72" fillId="0" borderId="0" xfId="82" applyFill="1" applyBorder="1" applyAlignment="1" applyProtection="1">
      <alignment vertical="top" wrapText="1"/>
    </xf>
    <xf numFmtId="0" fontId="72" fillId="0" borderId="44" xfId="82" applyFill="1" applyBorder="1" applyAlignment="1" applyProtection="1">
      <alignment vertical="top" wrapText="1"/>
    </xf>
    <xf numFmtId="0" fontId="75" fillId="0" borderId="112" xfId="0" applyFont="1" applyFill="1" applyBorder="1" applyAlignment="1" applyProtection="1">
      <alignment horizontal="left" indent="3"/>
    </xf>
    <xf numFmtId="0" fontId="75" fillId="0" borderId="0" xfId="0" applyFont="1" applyFill="1" applyBorder="1" applyAlignment="1" applyProtection="1">
      <alignment horizontal="left" indent="3"/>
    </xf>
    <xf numFmtId="0" fontId="75" fillId="0" borderId="44" xfId="0" applyFont="1" applyFill="1" applyBorder="1" applyAlignment="1" applyProtection="1">
      <alignment horizontal="left" indent="3"/>
    </xf>
    <xf numFmtId="0" fontId="37" fillId="0" borderId="0" xfId="0" applyFont="1" applyAlignment="1" applyProtection="1"/>
    <xf numFmtId="0" fontId="37" fillId="0" borderId="0" xfId="0" applyFont="1" applyAlignment="1" applyProtection="1">
      <alignment horizontal="left" wrapText="1"/>
    </xf>
    <xf numFmtId="170" fontId="26" fillId="4" borderId="9" xfId="0" applyNumberFormat="1" applyFont="1" applyFill="1" applyBorder="1" applyAlignment="1" applyProtection="1">
      <alignment horizontal="center"/>
      <protection locked="0"/>
    </xf>
    <xf numFmtId="0" fontId="37" fillId="0" borderId="0" xfId="0" applyFont="1" applyBorder="1" applyAlignment="1" applyProtection="1">
      <alignment horizontal="left"/>
    </xf>
    <xf numFmtId="0" fontId="27" fillId="0" borderId="0" xfId="0" applyFont="1" applyAlignment="1" applyProtection="1">
      <alignment horizontal="center"/>
    </xf>
    <xf numFmtId="0" fontId="26" fillId="6" borderId="8" xfId="0" applyFont="1" applyFill="1" applyBorder="1" applyAlignment="1" applyProtection="1">
      <alignment horizontal="left"/>
    </xf>
    <xf numFmtId="44" fontId="26" fillId="4" borderId="10" xfId="0" applyNumberFormat="1" applyFont="1" applyFill="1" applyBorder="1" applyAlignment="1" applyProtection="1">
      <alignment horizontal="center"/>
    </xf>
    <xf numFmtId="44" fontId="26" fillId="4" borderId="9" xfId="0" applyNumberFormat="1" applyFont="1" applyFill="1" applyBorder="1" applyAlignment="1" applyProtection="1">
      <alignment horizontal="center"/>
    </xf>
    <xf numFmtId="44" fontId="26" fillId="4" borderId="12" xfId="0" applyNumberFormat="1" applyFont="1" applyFill="1" applyBorder="1" applyAlignment="1" applyProtection="1">
      <alignment horizontal="center"/>
    </xf>
    <xf numFmtId="0" fontId="26" fillId="6" borderId="8" xfId="0" applyFont="1" applyFill="1" applyBorder="1" applyAlignment="1" applyProtection="1">
      <alignment horizontal="left" wrapText="1"/>
    </xf>
    <xf numFmtId="44" fontId="26" fillId="4" borderId="10" xfId="0" applyNumberFormat="1" applyFont="1" applyFill="1" applyBorder="1" applyAlignment="1" applyProtection="1">
      <alignment horizontal="center"/>
      <protection locked="0"/>
    </xf>
    <xf numFmtId="44" fontId="26" fillId="4" borderId="12" xfId="0" applyNumberFormat="1" applyFont="1" applyFill="1" applyBorder="1" applyAlignment="1" applyProtection="1">
      <alignment horizontal="center"/>
      <protection locked="0"/>
    </xf>
    <xf numFmtId="44" fontId="26" fillId="4" borderId="9" xfId="0" applyNumberFormat="1" applyFont="1" applyFill="1" applyBorder="1" applyAlignment="1" applyProtection="1">
      <alignment horizontal="center"/>
      <protection locked="0"/>
    </xf>
    <xf numFmtId="0" fontId="26" fillId="0" borderId="4" xfId="0" applyFont="1" applyFill="1" applyBorder="1" applyAlignment="1" applyProtection="1">
      <alignment horizontal="left"/>
    </xf>
    <xf numFmtId="49" fontId="26" fillId="6" borderId="8" xfId="0" applyNumberFormat="1" applyFont="1" applyFill="1" applyBorder="1" applyAlignment="1" applyProtection="1">
      <alignment horizontal="center"/>
    </xf>
    <xf numFmtId="0" fontId="29" fillId="0" borderId="0" xfId="0" applyFont="1" applyAlignment="1" applyProtection="1">
      <alignment horizontal="left" wrapText="1"/>
    </xf>
    <xf numFmtId="0" fontId="29" fillId="0" borderId="0" xfId="0" applyFont="1" applyAlignment="1" applyProtection="1">
      <alignment horizontal="justify" wrapText="1"/>
    </xf>
    <xf numFmtId="0" fontId="37" fillId="0" borderId="0" xfId="0" applyFont="1" applyFill="1" applyAlignment="1" applyProtection="1">
      <alignment horizontal="left"/>
    </xf>
    <xf numFmtId="0" fontId="37" fillId="0" borderId="0" xfId="0" applyFont="1" applyAlignment="1" applyProtection="1">
      <alignment horizontal="justify" vertical="top" wrapText="1"/>
    </xf>
    <xf numFmtId="0" fontId="26" fillId="4" borderId="8" xfId="0" applyFont="1" applyFill="1" applyBorder="1" applyAlignment="1" applyProtection="1">
      <alignment horizontal="justify" wrapText="1"/>
      <protection locked="0"/>
    </xf>
    <xf numFmtId="0" fontId="26" fillId="4" borderId="10" xfId="0" applyFont="1" applyFill="1" applyBorder="1" applyAlignment="1" applyProtection="1">
      <alignment horizontal="left" vertical="center" wrapText="1"/>
      <protection locked="0"/>
    </xf>
    <xf numFmtId="0" fontId="26" fillId="4" borderId="9" xfId="0" applyFont="1" applyFill="1" applyBorder="1" applyAlignment="1" applyProtection="1">
      <alignment horizontal="left" vertical="center" wrapText="1"/>
      <protection locked="0"/>
    </xf>
    <xf numFmtId="0" fontId="26" fillId="4" borderId="12" xfId="0" applyFont="1" applyFill="1" applyBorder="1" applyAlignment="1" applyProtection="1">
      <alignment horizontal="left" vertical="center" wrapText="1"/>
      <protection locked="0"/>
    </xf>
    <xf numFmtId="0" fontId="29" fillId="0" borderId="0" xfId="0" applyFont="1" applyAlignment="1" applyProtection="1"/>
    <xf numFmtId="0" fontId="40" fillId="8" borderId="0" xfId="0" quotePrefix="1" applyFont="1" applyFill="1" applyBorder="1" applyAlignment="1" applyProtection="1">
      <alignment horizontal="center"/>
    </xf>
    <xf numFmtId="0" fontId="40" fillId="8" borderId="0" xfId="0" applyFont="1" applyFill="1" applyBorder="1" applyAlignment="1" applyProtection="1">
      <alignment horizontal="center"/>
    </xf>
    <xf numFmtId="0" fontId="25" fillId="0" borderId="114" xfId="0" applyFont="1" applyBorder="1" applyAlignment="1">
      <alignment horizontal="center" wrapText="1"/>
    </xf>
    <xf numFmtId="0" fontId="25" fillId="0" borderId="115" xfId="0" applyFont="1" applyBorder="1" applyAlignment="1">
      <alignment horizontal="center" wrapText="1"/>
    </xf>
    <xf numFmtId="0" fontId="25" fillId="0" borderId="117" xfId="0" applyFont="1" applyBorder="1" applyAlignment="1">
      <alignment horizontal="center" wrapText="1"/>
    </xf>
    <xf numFmtId="0" fontId="26" fillId="0" borderId="5" xfId="0" applyFont="1" applyBorder="1" applyAlignment="1" applyProtection="1">
      <alignment wrapText="1"/>
    </xf>
    <xf numFmtId="0" fontId="26" fillId="0" borderId="6" xfId="0" applyFont="1" applyBorder="1" applyAlignment="1" applyProtection="1">
      <alignment wrapText="1"/>
    </xf>
    <xf numFmtId="0" fontId="26" fillId="3" borderId="22" xfId="0" applyFont="1" applyFill="1" applyBorder="1" applyAlignment="1" applyProtection="1">
      <alignment horizontal="center"/>
    </xf>
    <xf numFmtId="0" fontId="26" fillId="3" borderId="23" xfId="0" applyFont="1" applyFill="1" applyBorder="1" applyAlignment="1" applyProtection="1">
      <alignment horizontal="center"/>
    </xf>
    <xf numFmtId="0" fontId="26" fillId="3" borderId="13" xfId="0" applyFont="1" applyFill="1" applyBorder="1" applyAlignment="1" applyProtection="1">
      <alignment horizontal="center"/>
    </xf>
    <xf numFmtId="0" fontId="25" fillId="0" borderId="0" xfId="0" applyFont="1" applyBorder="1" applyAlignment="1" applyProtection="1">
      <alignment horizontal="right"/>
    </xf>
    <xf numFmtId="0" fontId="26" fillId="3" borderId="8" xfId="0" applyFont="1" applyFill="1" applyBorder="1" applyAlignment="1" applyProtection="1"/>
    <xf numFmtId="11" fontId="26" fillId="4" borderId="8" xfId="0" quotePrefix="1" applyNumberFormat="1" applyFont="1" applyFill="1" applyBorder="1" applyAlignment="1" applyProtection="1">
      <alignment horizontal="left"/>
      <protection locked="0"/>
    </xf>
    <xf numFmtId="0" fontId="26" fillId="6" borderId="8" xfId="0" applyFont="1" applyFill="1" applyBorder="1" applyAlignment="1" applyProtection="1"/>
    <xf numFmtId="0" fontId="26" fillId="0" borderId="9" xfId="0" applyFont="1" applyBorder="1" applyAlignment="1" applyProtection="1">
      <alignment horizontal="left" wrapText="1"/>
    </xf>
    <xf numFmtId="0" fontId="26" fillId="0" borderId="12" xfId="0" applyFont="1" applyBorder="1" applyAlignment="1" applyProtection="1">
      <alignment horizontal="left" wrapText="1"/>
    </xf>
    <xf numFmtId="0" fontId="26" fillId="4" borderId="8" xfId="0" quotePrefix="1" applyFont="1" applyFill="1" applyBorder="1" applyAlignment="1" applyProtection="1">
      <alignment horizontal="left"/>
      <protection locked="0"/>
    </xf>
    <xf numFmtId="0" fontId="26" fillId="0" borderId="1" xfId="0" applyFont="1" applyBorder="1" applyAlignment="1" applyProtection="1">
      <alignment horizontal="left" wrapText="1"/>
    </xf>
    <xf numFmtId="0" fontId="26" fillId="0" borderId="7" xfId="0" applyFont="1" applyBorder="1" applyAlignment="1" applyProtection="1">
      <alignment horizontal="left" wrapText="1"/>
    </xf>
    <xf numFmtId="0" fontId="26" fillId="0" borderId="2" xfId="0" applyFont="1" applyBorder="1" applyAlignment="1" applyProtection="1">
      <alignment horizontal="left" wrapText="1"/>
    </xf>
    <xf numFmtId="0" fontId="26" fillId="0" borderId="14" xfId="0" applyFont="1" applyBorder="1" applyAlignment="1" applyProtection="1">
      <alignment horizontal="left" wrapText="1"/>
    </xf>
    <xf numFmtId="0" fontId="26" fillId="0" borderId="42" xfId="0" applyFont="1" applyBorder="1" applyAlignment="1" applyProtection="1">
      <alignment horizontal="left" wrapText="1"/>
    </xf>
    <xf numFmtId="0" fontId="26" fillId="0" borderId="43" xfId="0" applyFont="1" applyBorder="1" applyAlignment="1" applyProtection="1">
      <alignment horizontal="left" wrapText="1"/>
    </xf>
    <xf numFmtId="0" fontId="29" fillId="0" borderId="0" xfId="0" applyFont="1" applyAlignment="1" applyProtection="1">
      <alignment horizontal="justify" vertical="top" wrapText="1"/>
    </xf>
    <xf numFmtId="0" fontId="26" fillId="0" borderId="7" xfId="0" applyFont="1" applyBorder="1" applyAlignment="1" applyProtection="1">
      <alignment horizontal="left" vertical="top"/>
    </xf>
    <xf numFmtId="168" fontId="26" fillId="0" borderId="8" xfId="0" applyNumberFormat="1" applyFont="1" applyFill="1" applyBorder="1" applyAlignment="1" applyProtection="1">
      <alignment horizontal="left"/>
    </xf>
    <xf numFmtId="0" fontId="63" fillId="0" borderId="0" xfId="0" applyFont="1" applyFill="1" applyAlignment="1" applyProtection="1">
      <alignment horizontal="center"/>
    </xf>
    <xf numFmtId="0" fontId="26" fillId="0" borderId="66" xfId="0" applyFont="1" applyBorder="1" applyAlignment="1" applyProtection="1">
      <alignment horizontal="justify" wrapText="1"/>
    </xf>
    <xf numFmtId="0" fontId="26" fillId="3" borderId="168" xfId="0" applyFont="1" applyFill="1" applyBorder="1" applyAlignment="1" applyProtection="1">
      <alignment horizontal="center" vertical="center"/>
    </xf>
    <xf numFmtId="0" fontId="26" fillId="3" borderId="166" xfId="0" applyFont="1" applyFill="1" applyBorder="1" applyAlignment="1" applyProtection="1">
      <alignment horizontal="center" vertical="center"/>
    </xf>
    <xf numFmtId="0" fontId="26" fillId="3" borderId="169" xfId="0" applyFont="1" applyFill="1" applyBorder="1" applyAlignment="1" applyProtection="1">
      <alignment horizontal="center" vertical="center"/>
    </xf>
    <xf numFmtId="0" fontId="26" fillId="3" borderId="167" xfId="0" applyFont="1" applyFill="1" applyBorder="1" applyAlignment="1" applyProtection="1">
      <alignment horizontal="center" vertical="center"/>
    </xf>
    <xf numFmtId="0" fontId="26" fillId="3" borderId="134" xfId="0" applyFont="1" applyFill="1" applyBorder="1" applyAlignment="1" applyProtection="1">
      <alignment horizontal="center"/>
    </xf>
    <xf numFmtId="0" fontId="26" fillId="3" borderId="135" xfId="0" applyFont="1" applyFill="1" applyBorder="1" applyAlignment="1" applyProtection="1">
      <alignment horizontal="center"/>
    </xf>
    <xf numFmtId="0" fontId="26" fillId="3" borderId="141" xfId="0" applyFont="1" applyFill="1" applyBorder="1" applyAlignment="1" applyProtection="1">
      <alignment horizontal="center"/>
    </xf>
    <xf numFmtId="0" fontId="26" fillId="3" borderId="143" xfId="0" applyFont="1" applyFill="1" applyBorder="1" applyAlignment="1" applyProtection="1">
      <alignment horizontal="center"/>
    </xf>
    <xf numFmtId="0" fontId="26" fillId="3" borderId="142" xfId="0" applyFont="1" applyFill="1" applyBorder="1" applyAlignment="1" applyProtection="1">
      <alignment horizontal="center"/>
    </xf>
    <xf numFmtId="164" fontId="26" fillId="0" borderId="0" xfId="0" applyNumberFormat="1" applyFont="1" applyAlignment="1" applyProtection="1">
      <alignment horizontal="left"/>
    </xf>
    <xf numFmtId="0" fontId="29" fillId="0" borderId="0" xfId="0" applyFont="1" applyAlignment="1">
      <alignment horizontal="left"/>
    </xf>
    <xf numFmtId="0" fontId="27" fillId="0" borderId="0" xfId="0" applyFont="1" applyBorder="1" applyAlignment="1" applyProtection="1">
      <alignment horizontal="center"/>
    </xf>
    <xf numFmtId="0" fontId="26" fillId="3" borderId="136" xfId="0" applyFont="1" applyFill="1" applyBorder="1" applyAlignment="1" applyProtection="1">
      <alignment horizontal="center"/>
    </xf>
    <xf numFmtId="0" fontId="26" fillId="3" borderId="137" xfId="0" applyFont="1" applyFill="1" applyBorder="1" applyAlignment="1" applyProtection="1">
      <alignment horizontal="center"/>
    </xf>
    <xf numFmtId="0" fontId="26" fillId="0" borderId="66" xfId="0" applyFont="1" applyBorder="1" applyProtection="1"/>
    <xf numFmtId="0" fontId="26" fillId="0" borderId="39" xfId="0" applyFont="1" applyBorder="1" applyAlignment="1">
      <alignment horizontal="left" vertical="center" wrapText="1"/>
    </xf>
    <xf numFmtId="0" fontId="26" fillId="0" borderId="30" xfId="0" applyFont="1" applyBorder="1" applyAlignment="1">
      <alignment horizontal="left" vertical="center" wrapText="1"/>
    </xf>
    <xf numFmtId="0" fontId="26" fillId="0" borderId="39" xfId="0" applyFont="1" applyBorder="1" applyAlignment="1">
      <alignment vertical="center" wrapText="1"/>
    </xf>
    <xf numFmtId="0" fontId="26" fillId="0" borderId="30" xfId="0" applyFont="1" applyBorder="1" applyAlignment="1">
      <alignment vertical="center" wrapText="1"/>
    </xf>
    <xf numFmtId="0" fontId="26" fillId="0" borderId="0" xfId="0" applyFont="1" applyAlignment="1">
      <alignment vertical="center" wrapText="1"/>
    </xf>
    <xf numFmtId="0" fontId="26" fillId="0" borderId="0" xfId="0" applyFont="1" applyBorder="1" applyAlignment="1">
      <alignment vertical="center" wrapText="1"/>
    </xf>
    <xf numFmtId="0" fontId="24" fillId="0" borderId="0" xfId="0" applyFont="1" applyAlignment="1">
      <alignment horizontal="center"/>
    </xf>
    <xf numFmtId="0" fontId="24" fillId="46" borderId="75" xfId="0" applyFont="1" applyFill="1" applyBorder="1" applyAlignment="1" applyProtection="1">
      <alignment horizontal="center"/>
      <protection locked="0"/>
    </xf>
    <xf numFmtId="0" fontId="24" fillId="46" borderId="76" xfId="0" applyFont="1" applyFill="1" applyBorder="1" applyAlignment="1" applyProtection="1">
      <alignment horizontal="center"/>
      <protection locked="0"/>
    </xf>
    <xf numFmtId="10" fontId="24" fillId="0" borderId="0" xfId="0" applyNumberFormat="1" applyFont="1" applyAlignment="1">
      <alignment horizontal="center"/>
    </xf>
    <xf numFmtId="10" fontId="24" fillId="46" borderId="71" xfId="0" applyNumberFormat="1" applyFont="1" applyFill="1" applyBorder="1" applyAlignment="1">
      <alignment horizontal="center"/>
    </xf>
    <xf numFmtId="10" fontId="24" fillId="46" borderId="72" xfId="0" applyNumberFormat="1" applyFont="1" applyFill="1" applyBorder="1" applyAlignment="1">
      <alignment horizontal="center"/>
    </xf>
    <xf numFmtId="0" fontId="24" fillId="46" borderId="73" xfId="0" applyFont="1" applyFill="1" applyBorder="1" applyAlignment="1" applyProtection="1">
      <alignment horizontal="center"/>
      <protection locked="0"/>
    </xf>
    <xf numFmtId="0" fontId="24" fillId="46" borderId="74" xfId="0" applyFont="1" applyFill="1" applyBorder="1" applyAlignment="1" applyProtection="1">
      <alignment horizontal="center"/>
      <protection locked="0"/>
    </xf>
    <xf numFmtId="14" fontId="24" fillId="46" borderId="75" xfId="0" applyNumberFormat="1" applyFont="1" applyFill="1" applyBorder="1" applyAlignment="1" applyProtection="1">
      <alignment horizontal="center"/>
      <protection locked="0"/>
    </xf>
    <xf numFmtId="0" fontId="24" fillId="45" borderId="77" xfId="0" applyFont="1" applyFill="1" applyBorder="1" applyAlignment="1" applyProtection="1">
      <alignment horizontal="center" vertical="center" wrapText="1"/>
    </xf>
    <xf numFmtId="0" fontId="24" fillId="45" borderId="78" xfId="0" applyFont="1" applyFill="1" applyBorder="1" applyAlignment="1" applyProtection="1">
      <alignment horizontal="center" vertical="center" wrapText="1"/>
    </xf>
    <xf numFmtId="0" fontId="24" fillId="45" borderId="77" xfId="77" applyFont="1" applyFill="1" applyBorder="1" applyAlignment="1" applyProtection="1">
      <alignment horizontal="center"/>
    </xf>
    <xf numFmtId="0" fontId="24" fillId="45" borderId="78" xfId="77" applyFont="1" applyFill="1" applyBorder="1" applyAlignment="1" applyProtection="1">
      <alignment horizontal="center"/>
    </xf>
    <xf numFmtId="7" fontId="24" fillId="46" borderId="71" xfId="77" applyNumberFormat="1" applyFont="1" applyFill="1" applyBorder="1" applyAlignment="1">
      <alignment horizontal="center"/>
    </xf>
    <xf numFmtId="7" fontId="24" fillId="46" borderId="72" xfId="77" applyNumberFormat="1" applyFont="1" applyFill="1" applyBorder="1" applyAlignment="1">
      <alignment horizontal="center"/>
    </xf>
    <xf numFmtId="0" fontId="24" fillId="46" borderId="124" xfId="77" applyFont="1" applyFill="1" applyBorder="1" applyAlignment="1" applyProtection="1">
      <alignment horizontal="center"/>
      <protection locked="0"/>
    </xf>
    <xf numFmtId="0" fontId="24" fillId="46" borderId="125" xfId="77" applyFont="1" applyFill="1" applyBorder="1" applyAlignment="1" applyProtection="1">
      <alignment horizontal="center"/>
      <protection locked="0"/>
    </xf>
    <xf numFmtId="0" fontId="24" fillId="46" borderId="75" xfId="77" applyFont="1" applyFill="1" applyBorder="1" applyAlignment="1" applyProtection="1">
      <alignment horizontal="center"/>
      <protection locked="0"/>
    </xf>
    <xf numFmtId="0" fontId="24" fillId="46" borderId="76" xfId="77" applyFont="1" applyFill="1" applyBorder="1" applyAlignment="1" applyProtection="1">
      <alignment horizontal="center"/>
      <protection locked="0"/>
    </xf>
    <xf numFmtId="14" fontId="24" fillId="46" borderId="75" xfId="77" applyNumberFormat="1" applyFont="1" applyFill="1" applyBorder="1" applyAlignment="1" applyProtection="1">
      <alignment horizontal="center"/>
      <protection locked="0"/>
    </xf>
    <xf numFmtId="10" fontId="24" fillId="0" borderId="0" xfId="2" applyNumberFormat="1" applyFont="1" applyAlignment="1">
      <alignment horizontal="right"/>
    </xf>
    <xf numFmtId="10" fontId="24" fillId="0" borderId="66" xfId="2" applyNumberFormat="1" applyFont="1" applyBorder="1" applyAlignment="1">
      <alignment horizontal="right"/>
    </xf>
    <xf numFmtId="0" fontId="24" fillId="0" borderId="0" xfId="77" applyFont="1" applyAlignment="1">
      <alignment horizontal="center"/>
    </xf>
    <xf numFmtId="0" fontId="29" fillId="0" borderId="0" xfId="0" applyFont="1" applyFill="1" applyAlignment="1">
      <alignment horizontal="left" wrapText="1"/>
    </xf>
    <xf numFmtId="0" fontId="29" fillId="0" borderId="0" xfId="0" applyFont="1" applyFill="1" applyAlignment="1">
      <alignment horizontal="left"/>
    </xf>
    <xf numFmtId="0" fontId="26" fillId="0" borderId="0" xfId="0" applyFont="1" applyFill="1" applyAlignment="1">
      <alignment horizontal="left"/>
    </xf>
    <xf numFmtId="0" fontId="26" fillId="0" borderId="1" xfId="0" applyFont="1" applyFill="1" applyBorder="1" applyAlignment="1" applyProtection="1">
      <alignment horizontal="left" vertical="center" wrapText="1"/>
    </xf>
    <xf numFmtId="0" fontId="26" fillId="0" borderId="2" xfId="0" applyFont="1" applyFill="1" applyBorder="1" applyAlignment="1" applyProtection="1">
      <alignment horizontal="left" vertical="center" wrapText="1"/>
    </xf>
    <xf numFmtId="0" fontId="26" fillId="0" borderId="3" xfId="0" applyFont="1" applyFill="1" applyBorder="1" applyAlignment="1" applyProtection="1">
      <alignment horizontal="left" vertical="center" wrapText="1"/>
    </xf>
    <xf numFmtId="0" fontId="26" fillId="0" borderId="4" xfId="0" applyFont="1" applyFill="1" applyBorder="1" applyAlignment="1" applyProtection="1">
      <alignment horizontal="left" vertical="center" wrapText="1"/>
    </xf>
    <xf numFmtId="0" fontId="26" fillId="0" borderId="126" xfId="0" applyFont="1" applyBorder="1" applyAlignment="1" applyProtection="1">
      <alignment horizontal="left" vertical="center" wrapText="1"/>
    </xf>
    <xf numFmtId="0" fontId="26" fillId="0" borderId="101" xfId="0" applyFont="1" applyBorder="1" applyAlignment="1" applyProtection="1">
      <alignment horizontal="left" vertical="center" wrapText="1"/>
    </xf>
    <xf numFmtId="0" fontId="26" fillId="0" borderId="0" xfId="0" applyFont="1" applyFill="1" applyAlignment="1">
      <alignment horizontal="center"/>
    </xf>
    <xf numFmtId="0" fontId="29" fillId="46" borderId="41" xfId="0" applyFont="1" applyFill="1" applyBorder="1" applyAlignment="1" applyProtection="1">
      <alignment horizontal="left"/>
      <protection locked="0"/>
    </xf>
    <xf numFmtId="0" fontId="26" fillId="0" borderId="0" xfId="0" applyFont="1" applyFill="1" applyAlignment="1">
      <alignment horizontal="right"/>
    </xf>
    <xf numFmtId="10" fontId="24" fillId="0" borderId="0" xfId="2" applyNumberFormat="1" applyFont="1" applyFill="1" applyBorder="1" applyAlignment="1">
      <alignment horizontal="right"/>
    </xf>
    <xf numFmtId="10" fontId="24" fillId="0" borderId="66" xfId="2" applyNumberFormat="1" applyFont="1" applyFill="1" applyBorder="1" applyAlignment="1">
      <alignment horizontal="right"/>
    </xf>
    <xf numFmtId="10" fontId="24" fillId="0" borderId="0" xfId="2" applyNumberFormat="1" applyFont="1" applyFill="1" applyBorder="1" applyAlignment="1">
      <alignment horizontal="right" vertical="center"/>
    </xf>
    <xf numFmtId="10" fontId="24" fillId="0" borderId="66" xfId="2" applyNumberFormat="1" applyFont="1" applyFill="1" applyBorder="1" applyAlignment="1">
      <alignment horizontal="right" vertical="center"/>
    </xf>
    <xf numFmtId="0" fontId="26" fillId="0" borderId="0" xfId="0" applyFont="1" applyFill="1" applyBorder="1"/>
    <xf numFmtId="0" fontId="26" fillId="0" borderId="66" xfId="0" applyFont="1" applyFill="1" applyBorder="1"/>
    <xf numFmtId="0" fontId="24" fillId="0" borderId="0" xfId="78" applyFont="1" applyAlignment="1">
      <alignment horizontal="center"/>
    </xf>
  </cellXfs>
  <cellStyles count="83">
    <cellStyle name="20% - Accent1" xfId="21" builtinId="30" customBuiltin="1"/>
    <cellStyle name="20% - Accent1 2" xfId="59" xr:uid="{00000000-0005-0000-0000-000001000000}"/>
    <cellStyle name="20% - Accent2" xfId="25" builtinId="34" customBuiltin="1"/>
    <cellStyle name="20% - Accent2 2" xfId="61" xr:uid="{00000000-0005-0000-0000-000003000000}"/>
    <cellStyle name="20% - Accent3" xfId="29" builtinId="38" customBuiltin="1"/>
    <cellStyle name="20% - Accent3 2" xfId="63" xr:uid="{00000000-0005-0000-0000-000005000000}"/>
    <cellStyle name="20% - Accent4" xfId="33" builtinId="42" customBuiltin="1"/>
    <cellStyle name="20% - Accent4 2" xfId="65" xr:uid="{00000000-0005-0000-0000-000007000000}"/>
    <cellStyle name="20% - Accent5" xfId="37" builtinId="46" customBuiltin="1"/>
    <cellStyle name="20% - Accent5 2" xfId="67" xr:uid="{00000000-0005-0000-0000-000009000000}"/>
    <cellStyle name="20% - Accent6" xfId="41" builtinId="50" customBuiltin="1"/>
    <cellStyle name="20% - Accent6 2" xfId="69" xr:uid="{00000000-0005-0000-0000-00000B000000}"/>
    <cellStyle name="40% - Accent1" xfId="22" builtinId="31" customBuiltin="1"/>
    <cellStyle name="40% - Accent1 2" xfId="60" xr:uid="{00000000-0005-0000-0000-00000D000000}"/>
    <cellStyle name="40% - Accent2" xfId="26" builtinId="35" customBuiltin="1"/>
    <cellStyle name="40% - Accent2 2" xfId="62" xr:uid="{00000000-0005-0000-0000-00000F000000}"/>
    <cellStyle name="40% - Accent3" xfId="30" builtinId="39" customBuiltin="1"/>
    <cellStyle name="40% - Accent3 2" xfId="64" xr:uid="{00000000-0005-0000-0000-000011000000}"/>
    <cellStyle name="40% - Accent4" xfId="34" builtinId="43" customBuiltin="1"/>
    <cellStyle name="40% - Accent4 2" xfId="66" xr:uid="{00000000-0005-0000-0000-000013000000}"/>
    <cellStyle name="40% - Accent5" xfId="38" builtinId="47" customBuiltin="1"/>
    <cellStyle name="40% - Accent5 2" xfId="68" xr:uid="{00000000-0005-0000-0000-000015000000}"/>
    <cellStyle name="40% - Accent6" xfId="42" builtinId="51" customBuiltin="1"/>
    <cellStyle name="40% - Accent6 2" xfId="70" xr:uid="{00000000-0005-0000-0000-000017000000}"/>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81" builtinId="3"/>
    <cellStyle name="Comma [0] 2" xfId="52" xr:uid="{00000000-0005-0000-0000-000028000000}"/>
    <cellStyle name="Comma 2" xfId="53" xr:uid="{00000000-0005-0000-0000-000029000000}"/>
    <cellStyle name="Comma 3" xfId="56" xr:uid="{00000000-0005-0000-0000-00002A000000}"/>
    <cellStyle name="Comma 4" xfId="58" xr:uid="{00000000-0005-0000-0000-00002B000000}"/>
    <cellStyle name="Currency" xfId="1" builtinId="4"/>
    <cellStyle name="Currency [0] 2" xfId="54" xr:uid="{00000000-0005-0000-0000-00002D000000}"/>
    <cellStyle name="Currency 2" xfId="48" xr:uid="{00000000-0005-0000-0000-00002E000000}"/>
    <cellStyle name="Currency 2 2" xfId="75" xr:uid="{00000000-0005-0000-0000-00002F000000}"/>
    <cellStyle name="Currency 3" xfId="50" xr:uid="{00000000-0005-0000-0000-000030000000}"/>
    <cellStyle name="Currency 4" xfId="55" xr:uid="{00000000-0005-0000-0000-000031000000}"/>
    <cellStyle name="Currency 5" xfId="57" xr:uid="{00000000-0005-0000-0000-000032000000}"/>
    <cellStyle name="Currency 6" xfId="79" xr:uid="{00000000-0005-0000-0000-000033000000}"/>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xfId="82" builtinId="8"/>
    <cellStyle name="Input" xfId="12" builtinId="20" customBuiltin="1"/>
    <cellStyle name="Linked Cell" xfId="15" builtinId="24" customBuiltin="1"/>
    <cellStyle name="Neutral" xfId="11" builtinId="28" customBuiltin="1"/>
    <cellStyle name="Normal" xfId="0" builtinId="0"/>
    <cellStyle name="Normal 2" xfId="3" xr:uid="{00000000-0005-0000-0000-00003F000000}"/>
    <cellStyle name="Normal 2 2" xfId="47" xr:uid="{00000000-0005-0000-0000-000040000000}"/>
    <cellStyle name="Normal 2 2 2" xfId="74" xr:uid="{00000000-0005-0000-0000-000041000000}"/>
    <cellStyle name="Normal 3" xfId="44" xr:uid="{00000000-0005-0000-0000-000042000000}"/>
    <cellStyle name="Normal 3 2" xfId="71" xr:uid="{00000000-0005-0000-0000-000043000000}"/>
    <cellStyle name="Normal 4" xfId="77" xr:uid="{00000000-0005-0000-0000-000044000000}"/>
    <cellStyle name="Normal 5" xfId="78" xr:uid="{00000000-0005-0000-0000-000045000000}"/>
    <cellStyle name="Note 2" xfId="45" xr:uid="{00000000-0005-0000-0000-000046000000}"/>
    <cellStyle name="Note 2 2" xfId="72" xr:uid="{00000000-0005-0000-0000-000047000000}"/>
    <cellStyle name="Output" xfId="13" builtinId="21" customBuiltin="1"/>
    <cellStyle name="Percent" xfId="2" builtinId="5"/>
    <cellStyle name="Percent 2" xfId="46" xr:uid="{00000000-0005-0000-0000-00004A000000}"/>
    <cellStyle name="Percent 2 2" xfId="73" xr:uid="{00000000-0005-0000-0000-00004B000000}"/>
    <cellStyle name="Percent 3" xfId="49" xr:uid="{00000000-0005-0000-0000-00004C000000}"/>
    <cellStyle name="Percent 3 2" xfId="76" xr:uid="{00000000-0005-0000-0000-00004D000000}"/>
    <cellStyle name="Percent 4" xfId="51" xr:uid="{00000000-0005-0000-0000-00004E000000}"/>
    <cellStyle name="Percent 5" xfId="80" xr:uid="{00000000-0005-0000-0000-00004F000000}"/>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99"/>
      <color rgb="FF99FFCC"/>
      <color rgb="FF00B0F0"/>
      <color rgb="FF00FF00"/>
      <color rgb="FF9999FF"/>
      <color rgb="FF6666FF"/>
      <color rgb="FF6699FF"/>
      <color rgb="FF3366CC"/>
      <color rgb="FF009644"/>
      <color rgb="FFDCE6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onnections" Target="connection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10</xdr:col>
      <xdr:colOff>80393</xdr:colOff>
      <xdr:row>21</xdr:row>
      <xdr:rowOff>95249</xdr:rowOff>
    </xdr:from>
    <xdr:to>
      <xdr:col>11</xdr:col>
      <xdr:colOff>364238</xdr:colOff>
      <xdr:row>34</xdr:row>
      <xdr:rowOff>192786</xdr:rowOff>
    </xdr:to>
    <xdr:sp macro="" textlink="">
      <xdr:nvSpPr>
        <xdr:cNvPr id="2" name="Arrow: Curved Up 1">
          <a:extLst>
            <a:ext uri="{FF2B5EF4-FFF2-40B4-BE49-F238E27FC236}">
              <a16:creationId xmlns:a16="http://schemas.microsoft.com/office/drawing/2014/main" id="{B560C908-2E07-4BB8-90AC-C8543FC2B6EB}"/>
            </a:ext>
          </a:extLst>
        </xdr:cNvPr>
        <xdr:cNvSpPr/>
      </xdr:nvSpPr>
      <xdr:spPr>
        <a:xfrm rot="16200000">
          <a:off x="4207384" y="5483733"/>
          <a:ext cx="3755137" cy="731520"/>
        </a:xfrm>
        <a:prstGeom prst="curvedUpArrow">
          <a:avLst/>
        </a:prstGeom>
        <a:solidFill>
          <a:srgbClr val="FFFF99"/>
        </a:solidFill>
        <a:ln w="9525"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endParaRPr lang="en-US" sz="1100">
            <a:solidFill>
              <a:schemeClr val="tx1"/>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76200</xdr:colOff>
      <xdr:row>8</xdr:row>
      <xdr:rowOff>0</xdr:rowOff>
    </xdr:from>
    <xdr:to>
      <xdr:col>9</xdr:col>
      <xdr:colOff>457200</xdr:colOff>
      <xdr:row>9</xdr:row>
      <xdr:rowOff>266700</xdr:rowOff>
    </xdr:to>
    <xdr:cxnSp macro="">
      <xdr:nvCxnSpPr>
        <xdr:cNvPr id="3" name="Straight Arrow Connector 2">
          <a:extLst>
            <a:ext uri="{FF2B5EF4-FFF2-40B4-BE49-F238E27FC236}">
              <a16:creationId xmlns:a16="http://schemas.microsoft.com/office/drawing/2014/main" id="{96A99F84-3D87-40B9-8675-292244C9CA1A}"/>
            </a:ext>
          </a:extLst>
        </xdr:cNvPr>
        <xdr:cNvCxnSpPr/>
      </xdr:nvCxnSpPr>
      <xdr:spPr>
        <a:xfrm flipV="1">
          <a:off x="6953250" y="1600200"/>
          <a:ext cx="381000" cy="4667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85725</xdr:colOff>
      <xdr:row>19</xdr:row>
      <xdr:rowOff>285750</xdr:rowOff>
    </xdr:from>
    <xdr:to>
      <xdr:col>16</xdr:col>
      <xdr:colOff>9525</xdr:colOff>
      <xdr:row>19</xdr:row>
      <xdr:rowOff>285750</xdr:rowOff>
    </xdr:to>
    <xdr:cxnSp macro="">
      <xdr:nvCxnSpPr>
        <xdr:cNvPr id="3" name="Straight Arrow Connector 2">
          <a:extLst>
            <a:ext uri="{FF2B5EF4-FFF2-40B4-BE49-F238E27FC236}">
              <a16:creationId xmlns:a16="http://schemas.microsoft.com/office/drawing/2014/main" id="{D2EF7D2F-13CC-49A8-80F2-34FBF9175D35}"/>
            </a:ext>
          </a:extLst>
        </xdr:cNvPr>
        <xdr:cNvCxnSpPr/>
      </xdr:nvCxnSpPr>
      <xdr:spPr>
        <a:xfrm>
          <a:off x="7534275" y="3514725"/>
          <a:ext cx="219075"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28575</xdr:colOff>
      <xdr:row>16</xdr:row>
      <xdr:rowOff>95250</xdr:rowOff>
    </xdr:from>
    <xdr:to>
      <xdr:col>30</xdr:col>
      <xdr:colOff>238125</xdr:colOff>
      <xdr:row>18</xdr:row>
      <xdr:rowOff>142875</xdr:rowOff>
    </xdr:to>
    <xdr:sp macro="" textlink="">
      <xdr:nvSpPr>
        <xdr:cNvPr id="2" name="Right Brace 1">
          <a:extLst>
            <a:ext uri="{FF2B5EF4-FFF2-40B4-BE49-F238E27FC236}">
              <a16:creationId xmlns:a16="http://schemas.microsoft.com/office/drawing/2014/main" id="{00000000-0008-0000-2200-000002000000}"/>
            </a:ext>
          </a:extLst>
        </xdr:cNvPr>
        <xdr:cNvSpPr/>
      </xdr:nvSpPr>
      <xdr:spPr>
        <a:xfrm>
          <a:off x="4676775" y="1876425"/>
          <a:ext cx="209550" cy="333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31</xdr:col>
      <xdr:colOff>200026</xdr:colOff>
      <xdr:row>16</xdr:row>
      <xdr:rowOff>133350</xdr:rowOff>
    </xdr:from>
    <xdr:to>
      <xdr:col>31</xdr:col>
      <xdr:colOff>409576</xdr:colOff>
      <xdr:row>20</xdr:row>
      <xdr:rowOff>133350</xdr:rowOff>
    </xdr:to>
    <xdr:sp macro="" textlink="">
      <xdr:nvSpPr>
        <xdr:cNvPr id="3" name="Left Brace 2">
          <a:extLst>
            <a:ext uri="{FF2B5EF4-FFF2-40B4-BE49-F238E27FC236}">
              <a16:creationId xmlns:a16="http://schemas.microsoft.com/office/drawing/2014/main" id="{00000000-0008-0000-2200-000003000000}"/>
            </a:ext>
          </a:extLst>
        </xdr:cNvPr>
        <xdr:cNvSpPr/>
      </xdr:nvSpPr>
      <xdr:spPr>
        <a:xfrm>
          <a:off x="5162551" y="1914525"/>
          <a:ext cx="209550" cy="571500"/>
        </a:xfrm>
        <a:prstGeom prst="lef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30</xdr:col>
      <xdr:colOff>238125</xdr:colOff>
      <xdr:row>17</xdr:row>
      <xdr:rowOff>52388</xdr:rowOff>
    </xdr:from>
    <xdr:to>
      <xdr:col>31</xdr:col>
      <xdr:colOff>200026</xdr:colOff>
      <xdr:row>18</xdr:row>
      <xdr:rowOff>133350</xdr:rowOff>
    </xdr:to>
    <xdr:cxnSp macro="">
      <xdr:nvCxnSpPr>
        <xdr:cNvPr id="5" name="Straight Connector 4">
          <a:extLst>
            <a:ext uri="{FF2B5EF4-FFF2-40B4-BE49-F238E27FC236}">
              <a16:creationId xmlns:a16="http://schemas.microsoft.com/office/drawing/2014/main" id="{00000000-0008-0000-2200-000005000000}"/>
            </a:ext>
          </a:extLst>
        </xdr:cNvPr>
        <xdr:cNvCxnSpPr>
          <a:stCxn id="2" idx="1"/>
          <a:endCxn id="3" idx="1"/>
        </xdr:cNvCxnSpPr>
      </xdr:nvCxnSpPr>
      <xdr:spPr>
        <a:xfrm>
          <a:off x="4886325" y="2043113"/>
          <a:ext cx="276226" cy="1571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28575</xdr:colOff>
      <xdr:row>16</xdr:row>
      <xdr:rowOff>95250</xdr:rowOff>
    </xdr:from>
    <xdr:to>
      <xdr:col>12</xdr:col>
      <xdr:colOff>238125</xdr:colOff>
      <xdr:row>18</xdr:row>
      <xdr:rowOff>142875</xdr:rowOff>
    </xdr:to>
    <xdr:sp macro="" textlink="">
      <xdr:nvSpPr>
        <xdr:cNvPr id="6" name="Right Brace 5">
          <a:extLst>
            <a:ext uri="{FF2B5EF4-FFF2-40B4-BE49-F238E27FC236}">
              <a16:creationId xmlns:a16="http://schemas.microsoft.com/office/drawing/2014/main" id="{00000000-0008-0000-2200-000006000000}"/>
            </a:ext>
          </a:extLst>
        </xdr:cNvPr>
        <xdr:cNvSpPr/>
      </xdr:nvSpPr>
      <xdr:spPr>
        <a:xfrm>
          <a:off x="17535525" y="1905000"/>
          <a:ext cx="209550" cy="3333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13</xdr:col>
      <xdr:colOff>200026</xdr:colOff>
      <xdr:row>16</xdr:row>
      <xdr:rowOff>133350</xdr:rowOff>
    </xdr:from>
    <xdr:to>
      <xdr:col>13</xdr:col>
      <xdr:colOff>409576</xdr:colOff>
      <xdr:row>20</xdr:row>
      <xdr:rowOff>133350</xdr:rowOff>
    </xdr:to>
    <xdr:sp macro="" textlink="">
      <xdr:nvSpPr>
        <xdr:cNvPr id="7" name="Left Brace 6">
          <a:extLst>
            <a:ext uri="{FF2B5EF4-FFF2-40B4-BE49-F238E27FC236}">
              <a16:creationId xmlns:a16="http://schemas.microsoft.com/office/drawing/2014/main" id="{00000000-0008-0000-2200-000007000000}"/>
            </a:ext>
          </a:extLst>
        </xdr:cNvPr>
        <xdr:cNvSpPr/>
      </xdr:nvSpPr>
      <xdr:spPr>
        <a:xfrm>
          <a:off x="18021301" y="1943100"/>
          <a:ext cx="209550" cy="571500"/>
        </a:xfrm>
        <a:prstGeom prst="leftBrace">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lang="en-US" sz="1100"/>
        </a:p>
      </xdr:txBody>
    </xdr:sp>
    <xdr:clientData/>
  </xdr:twoCellAnchor>
  <xdr:twoCellAnchor>
    <xdr:from>
      <xdr:col>12</xdr:col>
      <xdr:colOff>238125</xdr:colOff>
      <xdr:row>17</xdr:row>
      <xdr:rowOff>52388</xdr:rowOff>
    </xdr:from>
    <xdr:to>
      <xdr:col>13</xdr:col>
      <xdr:colOff>200026</xdr:colOff>
      <xdr:row>18</xdr:row>
      <xdr:rowOff>133350</xdr:rowOff>
    </xdr:to>
    <xdr:cxnSp macro="">
      <xdr:nvCxnSpPr>
        <xdr:cNvPr id="8" name="Straight Connector 7">
          <a:extLst>
            <a:ext uri="{FF2B5EF4-FFF2-40B4-BE49-F238E27FC236}">
              <a16:creationId xmlns:a16="http://schemas.microsoft.com/office/drawing/2014/main" id="{00000000-0008-0000-2200-000008000000}"/>
            </a:ext>
          </a:extLst>
        </xdr:cNvPr>
        <xdr:cNvCxnSpPr>
          <a:stCxn id="6" idx="1"/>
          <a:endCxn id="7" idx="1"/>
        </xdr:cNvCxnSpPr>
      </xdr:nvCxnSpPr>
      <xdr:spPr>
        <a:xfrm>
          <a:off x="17745075" y="2071688"/>
          <a:ext cx="276226" cy="1571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Allocation Certification_1" connectionId="1" xr16:uid="{00000000-0016-0000-3400-000000000000}"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rtlCol="0" anchor="ctr"/>
      <a:lstStyle>
        <a:defPPr algn="ctr">
          <a:defRPr sz="1100">
            <a:solidFill>
              <a:schemeClr val="tx1"/>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15.bin"/><Relationship Id="rId1" Type="http://schemas.openxmlformats.org/officeDocument/2006/relationships/hyperlink" Target="http://eligibility.sc.egov.usda.gov/eligibility/welcomeAction.do?pageAction=sfp&amp;NavKey=property@12" TargetMode="External"/><Relationship Id="rId4" Type="http://schemas.openxmlformats.org/officeDocument/2006/relationships/comments" Target="../comments11.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s://www.wvhdf.com/programs/national-housing-trust-fund-program" TargetMode="External"/><Relationship Id="rId1" Type="http://schemas.openxmlformats.org/officeDocument/2006/relationships/hyperlink" Target="https://www.wvhdf.com/programs/the-home-investment-partnerships-program" TargetMode="External"/></Relationships>
</file>

<file path=xl/worksheets/_rels/sheet2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5.bin"/><Relationship Id="rId1" Type="http://schemas.openxmlformats.org/officeDocument/2006/relationships/hyperlink" Target="https://www.wvhdf.com/programs/the-home-investment-partnerships-program" TargetMode="External"/><Relationship Id="rId5" Type="http://schemas.openxmlformats.org/officeDocument/2006/relationships/comments" Target="../comments23.xml"/><Relationship Id="rId4" Type="http://schemas.openxmlformats.org/officeDocument/2006/relationships/vmlDrawing" Target="../drawings/vmlDrawing23.vml"/></Relationships>
</file>

<file path=xl/worksheets/_rels/sheet37.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4.xml"/><Relationship Id="rId1" Type="http://schemas.openxmlformats.org/officeDocument/2006/relationships/printerSettings" Target="../printerSettings/printerSettings38.bin"/><Relationship Id="rId4" Type="http://schemas.openxmlformats.org/officeDocument/2006/relationships/comments" Target="../comments2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S63"/>
  <sheetViews>
    <sheetView tabSelected="1" workbookViewId="0"/>
  </sheetViews>
  <sheetFormatPr defaultColWidth="10.7109375" defaultRowHeight="12.75"/>
  <cols>
    <col min="1" max="1" width="4.7109375" style="4" customWidth="1"/>
    <col min="2" max="2" width="6.7109375" style="4" customWidth="1"/>
    <col min="3" max="3" width="16.7109375" style="4" customWidth="1"/>
    <col min="4" max="4" width="6.7109375" style="4" customWidth="1"/>
    <col min="5" max="5" width="10.5703125" style="4" customWidth="1"/>
    <col min="6" max="6" width="1.7109375" style="4" customWidth="1"/>
    <col min="7" max="7" width="6.7109375" style="4" customWidth="1"/>
    <col min="8" max="8" width="1.7109375" style="4" customWidth="1"/>
    <col min="9" max="9" width="5.7109375" style="4" customWidth="1"/>
    <col min="10" max="10" width="1.7109375" style="4" customWidth="1"/>
    <col min="11" max="11" width="7.7109375" style="4" customWidth="1"/>
    <col min="12" max="12" width="7.85546875" style="4" customWidth="1"/>
    <col min="13" max="13" width="1.7109375" style="4" customWidth="1"/>
    <col min="14" max="14" width="3.7109375" style="4" customWidth="1"/>
    <col min="15" max="15" width="10.7109375" style="4" customWidth="1"/>
    <col min="16" max="16" width="1.7109375" style="4" customWidth="1"/>
    <col min="17" max="17" width="8.7109375" style="4" customWidth="1"/>
    <col min="18" max="18" width="1.7109375" style="4" customWidth="1"/>
    <col min="19" max="20" width="10.7109375" style="4" customWidth="1"/>
    <col min="21" max="21" width="5.7109375" style="6" customWidth="1"/>
    <col min="22" max="22" width="4.7109375" style="4" hidden="1" customWidth="1"/>
    <col min="23" max="23" width="6.7109375" style="4" hidden="1" customWidth="1"/>
    <col min="24" max="24" width="16.7109375" style="4" hidden="1" customWidth="1"/>
    <col min="25" max="25" width="6.7109375" style="4" hidden="1" customWidth="1"/>
    <col min="26" max="26" width="11.5703125" style="4" hidden="1" customWidth="1"/>
    <col min="27" max="27" width="1.7109375" style="4" hidden="1" customWidth="1"/>
    <col min="28" max="28" width="6.7109375" style="4" hidden="1" customWidth="1"/>
    <col min="29" max="29" width="1.7109375" style="4" hidden="1" customWidth="1"/>
    <col min="30" max="30" width="5.7109375" style="4" hidden="1" customWidth="1"/>
    <col min="31" max="31" width="1.7109375" style="4" hidden="1" customWidth="1"/>
    <col min="32" max="32" width="5.7109375" style="4" hidden="1" customWidth="1"/>
    <col min="33" max="33" width="6.7109375" style="4" hidden="1" customWidth="1"/>
    <col min="34" max="34" width="1.7109375" style="4" hidden="1" customWidth="1"/>
    <col min="35" max="35" width="3.7109375" style="4" hidden="1" customWidth="1"/>
    <col min="36" max="36" width="8.7109375" style="4" hidden="1" customWidth="1"/>
    <col min="37" max="37" width="1.7109375" style="4" hidden="1" customWidth="1"/>
    <col min="38" max="38" width="9.7109375" style="4" hidden="1" customWidth="1"/>
    <col min="39" max="39" width="1.7109375" style="4" hidden="1" customWidth="1"/>
    <col min="40" max="42" width="10.7109375" style="4" hidden="1" customWidth="1"/>
    <col min="43" max="43" width="14.7109375" style="4" hidden="1" customWidth="1"/>
    <col min="44" max="44" width="14.7109375" style="575" hidden="1" customWidth="1"/>
    <col min="45" max="45" width="5.7109375" style="6" customWidth="1"/>
    <col min="46" max="16384" width="10.7109375" style="4"/>
  </cols>
  <sheetData>
    <row r="1" spans="1:45" ht="15" customHeight="1" thickTop="1">
      <c r="A1" s="3" t="s">
        <v>337</v>
      </c>
      <c r="C1" s="5" t="s">
        <v>35</v>
      </c>
      <c r="D1" s="5"/>
      <c r="E1" s="5"/>
      <c r="F1" s="5"/>
      <c r="G1" s="5"/>
      <c r="H1" s="5"/>
      <c r="I1" s="5"/>
      <c r="J1" s="5"/>
      <c r="K1" s="5"/>
      <c r="L1" s="5"/>
      <c r="M1" s="5"/>
      <c r="N1" s="5"/>
      <c r="O1" s="605" t="s">
        <v>1019</v>
      </c>
      <c r="P1" s="606"/>
      <c r="Q1" s="606"/>
      <c r="R1" s="606"/>
      <c r="S1" s="607"/>
      <c r="V1" s="3" t="s">
        <v>337</v>
      </c>
      <c r="X1" s="5" t="s">
        <v>35</v>
      </c>
      <c r="Y1" s="5"/>
      <c r="Z1" s="5"/>
      <c r="AA1" s="5"/>
      <c r="AB1" s="5"/>
      <c r="AC1" s="5"/>
      <c r="AD1" s="5"/>
      <c r="AE1" s="5"/>
      <c r="AF1" s="5"/>
      <c r="AG1" s="5"/>
      <c r="AH1" s="5"/>
      <c r="AI1" s="5"/>
      <c r="AJ1" s="605" t="s">
        <v>1019</v>
      </c>
      <c r="AK1" s="606"/>
      <c r="AL1" s="606"/>
      <c r="AM1" s="606"/>
      <c r="AN1" s="607"/>
    </row>
    <row r="2" spans="1:45" ht="15" customHeight="1">
      <c r="A2" s="3" t="s">
        <v>34</v>
      </c>
      <c r="C2" s="5" t="s">
        <v>36</v>
      </c>
      <c r="D2" s="5"/>
      <c r="E2" s="5"/>
      <c r="F2" s="5"/>
      <c r="G2" s="5"/>
      <c r="H2" s="5"/>
      <c r="I2" s="5"/>
      <c r="J2" s="5"/>
      <c r="K2" s="5"/>
      <c r="L2" s="5"/>
      <c r="M2" s="5"/>
      <c r="N2" s="5"/>
      <c r="O2" s="608" t="s">
        <v>1599</v>
      </c>
      <c r="P2" s="609"/>
      <c r="Q2" s="609"/>
      <c r="R2" s="609"/>
      <c r="S2" s="610"/>
      <c r="V2" s="3" t="s">
        <v>34</v>
      </c>
      <c r="X2" s="5" t="s">
        <v>36</v>
      </c>
      <c r="Y2" s="5"/>
      <c r="Z2" s="5"/>
      <c r="AA2" s="5"/>
      <c r="AB2" s="5"/>
      <c r="AC2" s="5"/>
      <c r="AD2" s="5"/>
      <c r="AE2" s="5"/>
      <c r="AF2" s="5"/>
      <c r="AG2" s="5"/>
      <c r="AH2" s="5"/>
      <c r="AI2" s="5"/>
      <c r="AJ2" s="608" t="s">
        <v>1599</v>
      </c>
      <c r="AK2" s="609"/>
      <c r="AL2" s="609"/>
      <c r="AM2" s="609"/>
      <c r="AN2" s="610"/>
    </row>
    <row r="3" spans="1:45" ht="15" customHeight="1" thickBot="1">
      <c r="A3" s="3" t="s">
        <v>2894</v>
      </c>
      <c r="C3" s="5" t="s">
        <v>37</v>
      </c>
      <c r="D3" s="5"/>
      <c r="E3" s="5"/>
      <c r="F3" s="5"/>
      <c r="G3" s="5"/>
      <c r="H3" s="5"/>
      <c r="I3" s="5"/>
      <c r="J3" s="5"/>
      <c r="K3" s="5"/>
      <c r="L3" s="5"/>
      <c r="M3" s="5"/>
      <c r="N3" s="5"/>
      <c r="O3" s="611"/>
      <c r="P3" s="1627" t="s">
        <v>38</v>
      </c>
      <c r="Q3" s="1627"/>
      <c r="R3" s="1627"/>
      <c r="S3" s="1628"/>
      <c r="V3" s="3" t="s">
        <v>2471</v>
      </c>
      <c r="X3" s="5" t="s">
        <v>37</v>
      </c>
      <c r="Y3" s="5"/>
      <c r="Z3" s="5"/>
      <c r="AA3" s="5"/>
      <c r="AB3" s="5"/>
      <c r="AC3" s="5"/>
      <c r="AD3" s="5"/>
      <c r="AE3" s="5"/>
      <c r="AF3" s="5"/>
      <c r="AG3" s="5"/>
      <c r="AH3" s="5"/>
      <c r="AI3" s="5"/>
      <c r="AJ3" s="611"/>
      <c r="AK3" s="1627" t="s">
        <v>38</v>
      </c>
      <c r="AL3" s="1627"/>
      <c r="AM3" s="1627"/>
      <c r="AN3" s="1628"/>
    </row>
    <row r="4" spans="1:45" ht="15" customHeight="1" thickTop="1" thickBot="1">
      <c r="A4" s="4" t="s">
        <v>2895</v>
      </c>
      <c r="C4" s="5"/>
      <c r="D4" s="5"/>
      <c r="E4" s="5"/>
      <c r="F4" s="5"/>
      <c r="G4" s="5"/>
      <c r="H4" s="5"/>
      <c r="I4" s="5"/>
      <c r="J4" s="5"/>
      <c r="K4" s="5"/>
      <c r="L4" s="5"/>
      <c r="M4" s="5"/>
      <c r="N4" s="5"/>
      <c r="O4" s="611"/>
      <c r="P4" s="1627" t="s">
        <v>39</v>
      </c>
      <c r="Q4" s="1627"/>
      <c r="R4" s="1627"/>
      <c r="S4" s="1628"/>
      <c r="X4" s="5"/>
      <c r="Y4" s="5"/>
      <c r="Z4" s="5"/>
      <c r="AA4" s="5"/>
      <c r="AB4" s="5"/>
      <c r="AC4" s="5"/>
      <c r="AD4" s="5"/>
      <c r="AE4" s="5"/>
      <c r="AF4" s="5"/>
      <c r="AG4" s="5"/>
      <c r="AH4" s="5"/>
      <c r="AI4" s="5"/>
      <c r="AJ4" s="611"/>
      <c r="AK4" s="1627" t="s">
        <v>39</v>
      </c>
      <c r="AL4" s="1627"/>
      <c r="AM4" s="1627"/>
      <c r="AN4" s="1628"/>
    </row>
    <row r="5" spans="1:45" ht="15" customHeight="1" thickTop="1" thickBot="1">
      <c r="C5" s="1653"/>
      <c r="D5" s="1653"/>
      <c r="E5" s="1653"/>
      <c r="F5" s="1653"/>
      <c r="G5" s="1653"/>
      <c r="H5" s="1653"/>
      <c r="I5" s="1653"/>
      <c r="J5" s="1653"/>
      <c r="K5" s="1653"/>
      <c r="L5" s="1653"/>
      <c r="M5" s="1653"/>
      <c r="N5" s="1654"/>
      <c r="O5" s="611"/>
      <c r="P5" s="1627" t="s">
        <v>40</v>
      </c>
      <c r="Q5" s="1627"/>
      <c r="R5" s="1627"/>
      <c r="S5" s="1628"/>
      <c r="AJ5" s="611"/>
      <c r="AK5" s="1627" t="s">
        <v>40</v>
      </c>
      <c r="AL5" s="1627"/>
      <c r="AM5" s="1627"/>
      <c r="AN5" s="1628"/>
    </row>
    <row r="6" spans="1:45" ht="15" customHeight="1" thickTop="1" thickBot="1">
      <c r="O6" s="611"/>
      <c r="P6" s="1627" t="s">
        <v>1018</v>
      </c>
      <c r="Q6" s="1627"/>
      <c r="R6" s="1627"/>
      <c r="S6" s="1628"/>
      <c r="AJ6" s="611"/>
      <c r="AK6" s="1627" t="s">
        <v>1018</v>
      </c>
      <c r="AL6" s="1627"/>
      <c r="AM6" s="1627"/>
      <c r="AN6" s="1628"/>
    </row>
    <row r="7" spans="1:45" ht="15" customHeight="1" thickTop="1" thickBot="1">
      <c r="N7" s="1041"/>
      <c r="O7" s="611"/>
      <c r="P7" s="1627" t="s">
        <v>716</v>
      </c>
      <c r="Q7" s="1627"/>
      <c r="R7" s="1627"/>
      <c r="S7" s="1628"/>
      <c r="AJ7" s="611"/>
      <c r="AK7" s="1627" t="s">
        <v>716</v>
      </c>
      <c r="AL7" s="1627"/>
      <c r="AM7" s="1627"/>
      <c r="AN7" s="1628"/>
    </row>
    <row r="8" spans="1:45" ht="6" customHeight="1" thickTop="1" thickBot="1">
      <c r="C8" s="8"/>
      <c r="E8" s="8"/>
      <c r="F8" s="8"/>
      <c r="G8" s="8"/>
      <c r="H8" s="8"/>
      <c r="O8" s="612"/>
      <c r="P8" s="613"/>
      <c r="Q8" s="613"/>
      <c r="R8" s="613"/>
      <c r="S8" s="614"/>
      <c r="X8" s="8"/>
      <c r="Z8" s="8"/>
      <c r="AA8" s="8"/>
      <c r="AB8" s="8"/>
      <c r="AC8" s="8"/>
      <c r="AJ8" s="612"/>
      <c r="AK8" s="613"/>
      <c r="AL8" s="613"/>
      <c r="AM8" s="613"/>
      <c r="AN8" s="614"/>
    </row>
    <row r="9" spans="1:45" ht="9.9499999999999993" customHeight="1" thickTop="1" thickBot="1">
      <c r="A9" s="4" t="s">
        <v>41</v>
      </c>
      <c r="V9" s="4" t="s">
        <v>41</v>
      </c>
    </row>
    <row r="10" spans="1:45" ht="51.95" customHeight="1" thickTop="1" thickBot="1">
      <c r="A10" s="1647" t="s">
        <v>2726</v>
      </c>
      <c r="B10" s="1648"/>
      <c r="C10" s="1648"/>
      <c r="D10" s="1648"/>
      <c r="E10" s="1648"/>
      <c r="F10" s="1648"/>
      <c r="G10" s="1648"/>
      <c r="H10" s="1648"/>
      <c r="I10" s="1648"/>
      <c r="J10" s="1648"/>
      <c r="K10" s="1648"/>
      <c r="L10" s="1648"/>
      <c r="M10" s="1648"/>
      <c r="N10" s="1648"/>
      <c r="O10" s="1648"/>
      <c r="P10" s="1648"/>
      <c r="Q10" s="1648"/>
      <c r="R10" s="1648"/>
      <c r="S10" s="1649"/>
      <c r="V10" s="1644" t="s">
        <v>1594</v>
      </c>
      <c r="W10" s="1645"/>
      <c r="X10" s="1645"/>
      <c r="Y10" s="1645"/>
      <c r="Z10" s="1645"/>
      <c r="AA10" s="1645"/>
      <c r="AB10" s="1645"/>
      <c r="AC10" s="1645"/>
      <c r="AD10" s="1645"/>
      <c r="AE10" s="1645"/>
      <c r="AF10" s="1645"/>
      <c r="AG10" s="1645"/>
      <c r="AH10" s="1645"/>
      <c r="AI10" s="1645"/>
      <c r="AJ10" s="1645"/>
      <c r="AK10" s="1645"/>
      <c r="AL10" s="1645"/>
      <c r="AM10" s="1645"/>
      <c r="AN10" s="1646"/>
    </row>
    <row r="11" spans="1:45" ht="9.9499999999999993" customHeight="1" thickTop="1"/>
    <row r="12" spans="1:45" s="575" customFormat="1" ht="17.100000000000001" customHeight="1" thickBot="1">
      <c r="A12" s="574" t="s">
        <v>42</v>
      </c>
      <c r="B12" s="575" t="s">
        <v>1600</v>
      </c>
      <c r="E12" s="1605"/>
      <c r="F12" s="1605"/>
      <c r="G12" s="1605"/>
      <c r="H12" s="1605"/>
      <c r="I12" s="1605"/>
      <c r="J12" s="1605"/>
      <c r="K12" s="1605"/>
      <c r="L12" s="1605"/>
      <c r="U12" s="6"/>
      <c r="V12" s="574" t="s">
        <v>42</v>
      </c>
      <c r="W12" s="575" t="s">
        <v>1600</v>
      </c>
      <c r="Z12" s="1617"/>
      <c r="AA12" s="1617"/>
      <c r="AB12" s="1617"/>
      <c r="AC12" s="1617"/>
      <c r="AD12" s="1617"/>
      <c r="AE12" s="1617"/>
      <c r="AF12" s="1617"/>
      <c r="AG12" s="1617"/>
      <c r="AS12" s="6"/>
    </row>
    <row r="13" spans="1:45" s="575" customFormat="1" ht="12" customHeight="1" thickTop="1">
      <c r="A13" s="574"/>
      <c r="U13" s="6"/>
      <c r="V13" s="574"/>
      <c r="AS13" s="6"/>
    </row>
    <row r="14" spans="1:45" ht="15" customHeight="1">
      <c r="A14" s="12" t="s">
        <v>43</v>
      </c>
      <c r="B14" s="4" t="s">
        <v>28</v>
      </c>
      <c r="D14" s="8"/>
      <c r="E14" s="8"/>
      <c r="F14" s="8"/>
      <c r="G14" s="8"/>
      <c r="H14" s="8"/>
      <c r="I14" s="8"/>
      <c r="J14" s="8"/>
      <c r="K14" s="8"/>
      <c r="L14" s="8"/>
      <c r="M14" s="8"/>
      <c r="N14" s="8"/>
      <c r="O14" s="8"/>
      <c r="P14" s="8"/>
      <c r="Q14" s="1652" t="s">
        <v>985</v>
      </c>
      <c r="R14" s="8"/>
      <c r="S14" s="1240"/>
      <c r="V14" s="694" t="s">
        <v>43</v>
      </c>
      <c r="W14" s="704" t="s">
        <v>28</v>
      </c>
      <c r="X14" s="704"/>
      <c r="Y14" s="8"/>
      <c r="Z14" s="8"/>
      <c r="AA14" s="8"/>
      <c r="AB14" s="8"/>
      <c r="AC14" s="8"/>
      <c r="AD14" s="8"/>
      <c r="AE14" s="8"/>
      <c r="AF14" s="8"/>
      <c r="AG14" s="8"/>
      <c r="AH14" s="8"/>
      <c r="AI14" s="8"/>
      <c r="AJ14" s="8"/>
      <c r="AK14" s="8"/>
      <c r="AL14" s="1652" t="s">
        <v>985</v>
      </c>
      <c r="AM14" s="8"/>
      <c r="AN14" s="8"/>
    </row>
    <row r="15" spans="1:45" ht="17.100000000000001" customHeight="1" thickBot="1">
      <c r="A15" s="12"/>
      <c r="B15" s="4" t="s">
        <v>29</v>
      </c>
      <c r="D15" s="1605"/>
      <c r="E15" s="1605"/>
      <c r="F15" s="1605"/>
      <c r="G15" s="1605"/>
      <c r="H15" s="1605"/>
      <c r="I15" s="1605"/>
      <c r="J15" s="1605"/>
      <c r="K15" s="1605"/>
      <c r="L15" s="1605"/>
      <c r="M15" s="1605"/>
      <c r="N15" s="1605"/>
      <c r="O15" s="1605"/>
      <c r="P15" s="701"/>
      <c r="Q15" s="1652"/>
      <c r="R15" s="691"/>
      <c r="S15" s="1242"/>
      <c r="V15" s="694"/>
      <c r="W15" s="704" t="s">
        <v>29</v>
      </c>
      <c r="X15" s="704"/>
      <c r="Y15" s="1605"/>
      <c r="Z15" s="1605"/>
      <c r="AA15" s="1605"/>
      <c r="AB15" s="1605"/>
      <c r="AC15" s="1605"/>
      <c r="AD15" s="1605"/>
      <c r="AE15" s="1605"/>
      <c r="AF15" s="1605"/>
      <c r="AG15" s="1605"/>
      <c r="AH15" s="1605"/>
      <c r="AI15" s="1605"/>
      <c r="AJ15" s="1605"/>
      <c r="AK15" s="701"/>
      <c r="AL15" s="1652"/>
      <c r="AM15" s="691"/>
      <c r="AN15" s="494" t="str">
        <f>IF(S15="","",S15)</f>
        <v/>
      </c>
      <c r="AO15" s="4" t="s">
        <v>985</v>
      </c>
    </row>
    <row r="16" spans="1:45" ht="26.1" customHeight="1" thickTop="1" thickBot="1">
      <c r="A16" s="12"/>
      <c r="B16" s="4" t="s">
        <v>30</v>
      </c>
      <c r="D16" s="1650"/>
      <c r="E16" s="1650"/>
      <c r="F16" s="1650"/>
      <c r="G16" s="1650"/>
      <c r="H16" s="1650"/>
      <c r="I16" s="1650"/>
      <c r="J16" s="15"/>
      <c r="K16" s="1651"/>
      <c r="L16" s="1651"/>
      <c r="M16" s="15"/>
      <c r="N16" s="1651"/>
      <c r="O16" s="1651"/>
      <c r="P16" s="8"/>
      <c r="Q16" s="16" t="s">
        <v>420</v>
      </c>
      <c r="R16" s="699"/>
      <c r="S16" s="13"/>
      <c r="V16" s="12"/>
      <c r="W16" s="4" t="s">
        <v>30</v>
      </c>
      <c r="Y16" s="18" t="str">
        <f>IF(D16="","",(D16))</f>
        <v/>
      </c>
      <c r="Z16" s="18"/>
      <c r="AA16" s="18"/>
      <c r="AB16" s="18"/>
      <c r="AC16" s="18"/>
      <c r="AD16" s="18"/>
      <c r="AE16" s="15"/>
      <c r="AF16" s="18" t="str">
        <f>IF(K16="","",(K16))</f>
        <v/>
      </c>
      <c r="AG16" s="18"/>
      <c r="AH16" s="15"/>
      <c r="AI16" s="853" t="str">
        <f>IF(N16="","",(N16))</f>
        <v/>
      </c>
      <c r="AJ16" s="18"/>
      <c r="AK16" s="15"/>
      <c r="AL16" s="1394" t="s">
        <v>420</v>
      </c>
      <c r="AM16" s="17"/>
      <c r="AN16" s="19" t="str">
        <f>IF(S16="","",(S16))</f>
        <v/>
      </c>
      <c r="AP16" s="1384"/>
    </row>
    <row r="17" spans="1:45" ht="15" customHeight="1" thickTop="1">
      <c r="A17" s="12"/>
      <c r="D17" s="1604" t="s">
        <v>413</v>
      </c>
      <c r="E17" s="1604"/>
      <c r="F17" s="1604"/>
      <c r="G17" s="1604"/>
      <c r="H17" s="1604"/>
      <c r="I17" s="1604"/>
      <c r="J17" s="21"/>
      <c r="K17" s="1604" t="s">
        <v>414</v>
      </c>
      <c r="L17" s="1604"/>
      <c r="M17" s="21"/>
      <c r="N17" s="1604" t="s">
        <v>415</v>
      </c>
      <c r="O17" s="1604"/>
      <c r="P17" s="21"/>
      <c r="Q17" s="12" t="s">
        <v>417</v>
      </c>
      <c r="R17" s="12"/>
      <c r="S17" s="12" t="s">
        <v>416</v>
      </c>
      <c r="V17" s="12"/>
      <c r="Y17" s="1604" t="s">
        <v>413</v>
      </c>
      <c r="Z17" s="1604"/>
      <c r="AA17" s="1604"/>
      <c r="AB17" s="1604"/>
      <c r="AC17" s="1604"/>
      <c r="AD17" s="1604"/>
      <c r="AE17" s="21"/>
      <c r="AF17" s="1604" t="s">
        <v>414</v>
      </c>
      <c r="AG17" s="1604"/>
      <c r="AH17" s="21"/>
      <c r="AI17" s="1604" t="s">
        <v>415</v>
      </c>
      <c r="AJ17" s="1604"/>
      <c r="AK17" s="21"/>
      <c r="AL17" s="12" t="s">
        <v>417</v>
      </c>
      <c r="AM17" s="12"/>
      <c r="AN17" s="12" t="s">
        <v>416</v>
      </c>
      <c r="AP17" s="1385"/>
    </row>
    <row r="18" spans="1:45" s="1377" customFormat="1" ht="17.100000000000001" customHeight="1" thickBot="1">
      <c r="A18" s="1376"/>
      <c r="B18" s="1593" t="s">
        <v>2468</v>
      </c>
      <c r="C18" s="1593"/>
      <c r="D18" s="1594"/>
      <c r="E18" s="1594"/>
      <c r="F18" s="1380"/>
      <c r="G18" s="1380" t="s">
        <v>294</v>
      </c>
      <c r="H18" s="1380"/>
      <c r="I18" s="1383" t="s">
        <v>510</v>
      </c>
      <c r="J18" s="1380"/>
      <c r="K18" s="1595"/>
      <c r="L18" s="1595"/>
      <c r="M18" s="1380"/>
      <c r="N18" s="1596" t="s">
        <v>174</v>
      </c>
      <c r="O18" s="1596"/>
      <c r="P18" s="1380"/>
      <c r="Q18" s="1376"/>
      <c r="R18" s="1376"/>
      <c r="S18" s="1376"/>
      <c r="U18" s="6"/>
      <c r="V18" s="1376"/>
      <c r="X18" s="1377" t="s">
        <v>2747</v>
      </c>
      <c r="Y18" s="1667">
        <f>IF(ISNUMBER(D18),D18*43560,K18)</f>
        <v>0</v>
      </c>
      <c r="Z18" s="1667"/>
      <c r="AA18" s="1380"/>
      <c r="AB18" s="1380"/>
      <c r="AC18" s="1380"/>
      <c r="AD18" s="1380"/>
      <c r="AE18" s="1380"/>
      <c r="AF18" s="1380"/>
      <c r="AG18" s="1380"/>
      <c r="AH18" s="1380"/>
      <c r="AI18" s="1380"/>
      <c r="AJ18" s="1380"/>
      <c r="AK18" s="1380"/>
      <c r="AL18" s="1376"/>
      <c r="AM18" s="1376"/>
      <c r="AN18" s="1376"/>
      <c r="AP18" s="1385"/>
      <c r="AS18" s="6"/>
    </row>
    <row r="19" spans="1:45" ht="9.9499999999999993" customHeight="1" thickTop="1">
      <c r="A19" s="12"/>
      <c r="V19" s="12"/>
    </row>
    <row r="20" spans="1:45" ht="15" customHeight="1">
      <c r="A20" s="12" t="s">
        <v>44</v>
      </c>
      <c r="B20" s="1603" t="s">
        <v>2043</v>
      </c>
      <c r="C20" s="1603"/>
      <c r="D20" s="1603"/>
      <c r="E20" s="1603"/>
      <c r="F20" s="1603"/>
      <c r="G20" s="1603"/>
      <c r="H20" s="1603"/>
      <c r="I20" s="1603"/>
      <c r="J20" s="1603"/>
      <c r="K20" s="1603"/>
      <c r="L20" s="1603"/>
      <c r="M20" s="1603"/>
      <c r="N20" s="1603"/>
      <c r="O20" s="1603"/>
      <c r="P20" s="1603"/>
      <c r="Q20" s="1603"/>
      <c r="R20" s="1603"/>
      <c r="S20" s="1603"/>
      <c r="V20" s="12" t="s">
        <v>44</v>
      </c>
      <c r="W20" s="575" t="s">
        <v>1601</v>
      </c>
      <c r="X20" s="575"/>
      <c r="Y20" s="575"/>
      <c r="Z20" s="575"/>
      <c r="AA20" s="575"/>
      <c r="AB20" s="575"/>
      <c r="AC20" s="575"/>
      <c r="AD20" s="575"/>
      <c r="AE20" s="575"/>
      <c r="AF20" s="575"/>
      <c r="AG20" s="575"/>
      <c r="AH20" s="575"/>
      <c r="AI20" s="575"/>
      <c r="AJ20" s="575"/>
      <c r="AK20" s="575"/>
      <c r="AL20" s="575"/>
      <c r="AM20" s="575"/>
      <c r="AN20" s="575"/>
      <c r="AP20" s="22" t="s">
        <v>943</v>
      </c>
    </row>
    <row r="21" spans="1:45" s="575" customFormat="1" ht="26.1" customHeight="1">
      <c r="A21" s="574"/>
      <c r="B21" s="1656" t="s">
        <v>2417</v>
      </c>
      <c r="C21" s="1656"/>
      <c r="D21" s="1656"/>
      <c r="E21" s="1656"/>
      <c r="F21" s="1656"/>
      <c r="G21" s="1656"/>
      <c r="H21" s="1656"/>
      <c r="I21" s="1656"/>
      <c r="J21" s="1656"/>
      <c r="K21" s="1656"/>
      <c r="L21" s="1656"/>
      <c r="M21" s="1656"/>
      <c r="N21" s="1656"/>
      <c r="O21" s="1656"/>
      <c r="P21" s="1656"/>
      <c r="Q21" s="1656"/>
      <c r="R21" s="1656"/>
      <c r="S21" s="1656"/>
      <c r="U21" s="6"/>
      <c r="V21" s="574"/>
      <c r="W21" s="1656" t="s">
        <v>1602</v>
      </c>
      <c r="X21" s="1656"/>
      <c r="Y21" s="1656"/>
      <c r="Z21" s="1656"/>
      <c r="AA21" s="1656"/>
      <c r="AB21" s="1656"/>
      <c r="AC21" s="1656"/>
      <c r="AD21" s="1656"/>
      <c r="AE21" s="1656"/>
      <c r="AF21" s="1656"/>
      <c r="AG21" s="1656"/>
      <c r="AH21" s="1656"/>
      <c r="AI21" s="1656"/>
      <c r="AJ21" s="1656"/>
      <c r="AK21" s="1656"/>
      <c r="AL21" s="1656"/>
      <c r="AM21" s="1656"/>
      <c r="AN21" s="1656"/>
      <c r="AP21" s="22" t="s">
        <v>1005</v>
      </c>
      <c r="AS21" s="6"/>
    </row>
    <row r="22" spans="1:45" ht="17.100000000000001" customHeight="1" thickBot="1">
      <c r="A22" s="12"/>
      <c r="B22" s="1603" t="s">
        <v>1995</v>
      </c>
      <c r="C22" s="1603"/>
      <c r="D22" s="1605"/>
      <c r="E22" s="1605"/>
      <c r="F22" s="1605"/>
      <c r="G22" s="1605"/>
      <c r="H22" s="1605"/>
      <c r="I22" s="1605"/>
      <c r="J22" s="1605"/>
      <c r="K22" s="1605"/>
      <c r="L22" s="1605"/>
      <c r="M22" s="1605"/>
      <c r="N22" s="1605"/>
      <c r="O22" s="1605"/>
      <c r="P22" s="1605"/>
      <c r="Q22" s="1605"/>
      <c r="R22" s="1605"/>
      <c r="S22" s="1605"/>
      <c r="V22" s="12"/>
      <c r="W22" s="4" t="s">
        <v>45</v>
      </c>
      <c r="Y22" s="1617"/>
      <c r="Z22" s="1617"/>
      <c r="AA22" s="1617"/>
      <c r="AB22" s="1617"/>
      <c r="AC22" s="1617"/>
      <c r="AD22" s="1617"/>
      <c r="AE22" s="1617"/>
      <c r="AF22" s="1617"/>
      <c r="AG22" s="1617"/>
      <c r="AH22" s="1617"/>
      <c r="AI22" s="1617"/>
      <c r="AJ22" s="1617"/>
      <c r="AK22" s="1617"/>
      <c r="AL22" s="1617"/>
      <c r="AM22" s="1617"/>
      <c r="AN22" s="1617"/>
      <c r="AP22" s="918"/>
    </row>
    <row r="23" spans="1:45" ht="26.1" customHeight="1" thickTop="1" thickBot="1">
      <c r="A23" s="12"/>
      <c r="B23" s="1603" t="s">
        <v>46</v>
      </c>
      <c r="C23" s="1603"/>
      <c r="D23" s="1650"/>
      <c r="E23" s="1650"/>
      <c r="F23" s="1650"/>
      <c r="G23" s="1650"/>
      <c r="H23" s="1650"/>
      <c r="I23" s="1650"/>
      <c r="J23" s="15"/>
      <c r="K23" s="1655"/>
      <c r="L23" s="1655"/>
      <c r="M23" s="15"/>
      <c r="N23" s="1651"/>
      <c r="O23" s="1651"/>
      <c r="P23" s="15"/>
      <c r="Q23" s="13"/>
      <c r="R23" s="15"/>
      <c r="S23" s="15"/>
      <c r="V23" s="12"/>
      <c r="W23" s="4" t="s">
        <v>46</v>
      </c>
      <c r="Y23" s="1618"/>
      <c r="Z23" s="1618"/>
      <c r="AA23" s="1618"/>
      <c r="AB23" s="1618"/>
      <c r="AC23" s="1618"/>
      <c r="AD23" s="1618"/>
      <c r="AE23" s="15"/>
      <c r="AF23" s="1642"/>
      <c r="AG23" s="1642"/>
      <c r="AH23" s="15"/>
      <c r="AI23" s="1642"/>
      <c r="AJ23" s="1642"/>
      <c r="AK23" s="15"/>
      <c r="AL23" s="14"/>
      <c r="AM23" s="15"/>
      <c r="AN23" s="15"/>
      <c r="AP23" s="22" t="s">
        <v>2030</v>
      </c>
    </row>
    <row r="24" spans="1:45" ht="15" customHeight="1" thickTop="1">
      <c r="A24" s="12"/>
      <c r="D24" s="1604" t="s">
        <v>413</v>
      </c>
      <c r="E24" s="1604"/>
      <c r="F24" s="1604"/>
      <c r="G24" s="1604"/>
      <c r="H24" s="1604"/>
      <c r="I24" s="1604"/>
      <c r="J24" s="21"/>
      <c r="K24" s="1604" t="s">
        <v>414</v>
      </c>
      <c r="L24" s="1604"/>
      <c r="M24" s="21"/>
      <c r="N24" s="1604" t="s">
        <v>417</v>
      </c>
      <c r="O24" s="1604"/>
      <c r="P24" s="21"/>
      <c r="Q24" s="12" t="s">
        <v>416</v>
      </c>
      <c r="R24" s="12"/>
      <c r="S24" s="12"/>
      <c r="V24" s="12"/>
      <c r="Y24" s="1604" t="s">
        <v>413</v>
      </c>
      <c r="Z24" s="1604"/>
      <c r="AA24" s="1604"/>
      <c r="AB24" s="1604"/>
      <c r="AC24" s="1604"/>
      <c r="AD24" s="1604"/>
      <c r="AE24" s="21"/>
      <c r="AF24" s="1604" t="s">
        <v>414</v>
      </c>
      <c r="AG24" s="1604"/>
      <c r="AH24" s="21"/>
      <c r="AI24" s="1604" t="s">
        <v>417</v>
      </c>
      <c r="AJ24" s="1604"/>
      <c r="AK24" s="21"/>
      <c r="AL24" s="12" t="s">
        <v>416</v>
      </c>
      <c r="AM24" s="12"/>
      <c r="AN24" s="12"/>
      <c r="AP24" s="22" t="s">
        <v>2031</v>
      </c>
    </row>
    <row r="25" spans="1:45" ht="5.0999999999999996" customHeight="1">
      <c r="A25" s="12"/>
      <c r="V25" s="12"/>
      <c r="AP25" s="22" t="s">
        <v>2032</v>
      </c>
    </row>
    <row r="26" spans="1:45" ht="17.100000000000001" customHeight="1" thickBot="1">
      <c r="A26" s="12"/>
      <c r="B26" s="1603" t="s">
        <v>528</v>
      </c>
      <c r="C26" s="1603"/>
      <c r="D26" s="1605"/>
      <c r="E26" s="1605"/>
      <c r="F26" s="21"/>
      <c r="G26" s="23"/>
      <c r="H26" s="21"/>
      <c r="I26" s="1605"/>
      <c r="J26" s="1605"/>
      <c r="K26" s="1605"/>
      <c r="L26" s="1605"/>
      <c r="M26" s="24"/>
      <c r="N26" s="1609"/>
      <c r="O26" s="1609"/>
      <c r="P26" s="1609"/>
      <c r="Q26" s="1609"/>
      <c r="R26" s="8"/>
      <c r="S26" s="13"/>
      <c r="V26" s="12"/>
      <c r="W26" s="4" t="s">
        <v>528</v>
      </c>
      <c r="Y26" s="1617"/>
      <c r="Z26" s="1617"/>
      <c r="AA26" s="21"/>
      <c r="AB26" s="25"/>
      <c r="AC26" s="21"/>
      <c r="AD26" s="1617"/>
      <c r="AE26" s="1617"/>
      <c r="AF26" s="1617"/>
      <c r="AG26" s="1617"/>
      <c r="AH26" s="24"/>
      <c r="AI26" s="1633"/>
      <c r="AJ26" s="1633"/>
      <c r="AK26" s="1633"/>
      <c r="AL26" s="1633"/>
      <c r="AM26" s="8"/>
      <c r="AN26" s="14"/>
    </row>
    <row r="27" spans="1:45" s="8" customFormat="1" ht="15" customHeight="1" thickTop="1">
      <c r="A27" s="26"/>
      <c r="D27" s="21" t="s">
        <v>524</v>
      </c>
      <c r="E27" s="21"/>
      <c r="F27" s="21"/>
      <c r="G27" s="21" t="s">
        <v>495</v>
      </c>
      <c r="H27" s="21"/>
      <c r="I27" s="8" t="s">
        <v>525</v>
      </c>
      <c r="K27" s="26"/>
      <c r="L27" s="24"/>
      <c r="M27" s="24"/>
      <c r="N27" s="1602" t="s">
        <v>2028</v>
      </c>
      <c r="O27" s="1602"/>
      <c r="P27" s="1602"/>
      <c r="Q27" s="1602"/>
      <c r="S27" s="8" t="s">
        <v>526</v>
      </c>
      <c r="U27" s="27"/>
      <c r="V27" s="26"/>
      <c r="Y27" s="21" t="s">
        <v>524</v>
      </c>
      <c r="Z27" s="21"/>
      <c r="AA27" s="21"/>
      <c r="AB27" s="21" t="s">
        <v>495</v>
      </c>
      <c r="AC27" s="21"/>
      <c r="AD27" s="8" t="s">
        <v>525</v>
      </c>
      <c r="AF27" s="26"/>
      <c r="AG27" s="24"/>
      <c r="AH27" s="24"/>
      <c r="AI27" s="8" t="s">
        <v>523</v>
      </c>
      <c r="AN27" s="8" t="s">
        <v>526</v>
      </c>
      <c r="AS27" s="27"/>
    </row>
    <row r="28" spans="1:45" s="8" customFormat="1" ht="5.0999999999999996" customHeight="1">
      <c r="A28" s="26"/>
      <c r="D28" s="21"/>
      <c r="E28" s="21"/>
      <c r="F28" s="21"/>
      <c r="G28" s="21"/>
      <c r="H28" s="21"/>
      <c r="K28" s="26"/>
      <c r="L28" s="24"/>
      <c r="M28" s="24"/>
      <c r="N28" s="925"/>
      <c r="O28" s="925"/>
      <c r="P28" s="925"/>
      <c r="Q28" s="925"/>
      <c r="U28" s="27"/>
      <c r="V28" s="26"/>
      <c r="Y28" s="21"/>
      <c r="Z28" s="21"/>
      <c r="AA28" s="21"/>
      <c r="AB28" s="21"/>
      <c r="AC28" s="21"/>
      <c r="AF28" s="26"/>
      <c r="AG28" s="24"/>
      <c r="AH28" s="24"/>
      <c r="AI28" s="1632" t="s">
        <v>529</v>
      </c>
      <c r="AJ28" s="1632"/>
      <c r="AK28" s="1632"/>
      <c r="AL28" s="1632"/>
      <c r="AS28" s="27"/>
    </row>
    <row r="29" spans="1:45" ht="17.100000000000001" customHeight="1" thickBot="1">
      <c r="A29" s="930"/>
      <c r="B29" s="1598" t="s">
        <v>527</v>
      </c>
      <c r="C29" s="1598"/>
      <c r="D29" s="1600"/>
      <c r="E29" s="1600"/>
      <c r="F29" s="1600"/>
      <c r="G29" s="1600"/>
      <c r="H29" s="1600"/>
      <c r="I29" s="1600"/>
      <c r="J29" s="1600"/>
      <c r="K29" s="1600"/>
      <c r="L29" s="1600"/>
      <c r="M29" s="933"/>
      <c r="N29" s="1599" t="s">
        <v>2029</v>
      </c>
      <c r="O29" s="1599"/>
      <c r="P29" s="1599"/>
      <c r="Q29" s="1601"/>
      <c r="R29" s="1601"/>
      <c r="S29" s="1601"/>
      <c r="V29" s="12"/>
      <c r="W29" s="8" t="s">
        <v>527</v>
      </c>
      <c r="X29" s="8"/>
      <c r="Y29" s="1617"/>
      <c r="Z29" s="1617"/>
      <c r="AA29" s="1617"/>
      <c r="AB29" s="1617"/>
      <c r="AC29" s="1617"/>
      <c r="AD29" s="1617"/>
      <c r="AE29" s="1617"/>
      <c r="AF29" s="1617"/>
      <c r="AG29" s="1617"/>
      <c r="AH29" s="8"/>
      <c r="AI29" s="1632"/>
      <c r="AJ29" s="1632"/>
      <c r="AK29" s="1632"/>
      <c r="AL29" s="1632"/>
      <c r="AM29" s="8"/>
      <c r="AN29" s="8"/>
      <c r="AP29" s="22" t="s">
        <v>1595</v>
      </c>
    </row>
    <row r="30" spans="1:45" ht="9.9499999999999993" customHeight="1" thickTop="1">
      <c r="A30" s="12"/>
      <c r="N30" s="931"/>
      <c r="O30" s="931"/>
      <c r="P30" s="931"/>
      <c r="Q30" s="931"/>
      <c r="R30" s="931"/>
      <c r="S30" s="931"/>
      <c r="V30" s="12"/>
      <c r="AP30" s="487" t="s">
        <v>1596</v>
      </c>
    </row>
    <row r="31" spans="1:45" ht="15" customHeight="1">
      <c r="A31" s="12" t="s">
        <v>47</v>
      </c>
      <c r="B31" s="1603" t="s">
        <v>2193</v>
      </c>
      <c r="C31" s="1603"/>
      <c r="D31" s="1603"/>
      <c r="E31" s="1603"/>
      <c r="F31" s="1603"/>
      <c r="G31" s="1603"/>
      <c r="H31" s="1603"/>
      <c r="I31" s="1603"/>
      <c r="J31" s="1603"/>
      <c r="K31" s="1603"/>
      <c r="L31" s="1603"/>
      <c r="M31" s="1603"/>
      <c r="N31" s="1603"/>
      <c r="O31" s="1603"/>
      <c r="P31" s="1603"/>
      <c r="Q31" s="1603"/>
      <c r="R31" s="1603"/>
      <c r="S31" s="1603"/>
      <c r="V31" s="12" t="s">
        <v>47</v>
      </c>
      <c r="W31" s="4" t="s">
        <v>31</v>
      </c>
      <c r="AP31" s="22" t="s">
        <v>1597</v>
      </c>
    </row>
    <row r="32" spans="1:45" ht="17.100000000000001" customHeight="1" thickBot="1">
      <c r="B32" s="1603" t="s">
        <v>45</v>
      </c>
      <c r="C32" s="1603"/>
      <c r="D32" s="1605"/>
      <c r="E32" s="1605"/>
      <c r="F32" s="1605"/>
      <c r="G32" s="1605"/>
      <c r="H32" s="1605"/>
      <c r="I32" s="1605"/>
      <c r="J32" s="1605"/>
      <c r="K32" s="1605"/>
      <c r="L32" s="1605"/>
      <c r="M32" s="28"/>
      <c r="N32" s="1606" t="s">
        <v>642</v>
      </c>
      <c r="O32" s="1606"/>
      <c r="P32" s="1607"/>
      <c r="Q32" s="1607"/>
      <c r="R32" s="1607"/>
      <c r="S32" s="1607"/>
      <c r="W32" s="4" t="s">
        <v>45</v>
      </c>
      <c r="Y32" s="29" t="str">
        <f>IF(D32="","",(D32))</f>
        <v/>
      </c>
      <c r="Z32" s="29"/>
      <c r="AA32" s="29"/>
      <c r="AB32" s="29"/>
      <c r="AC32" s="29"/>
      <c r="AD32" s="29"/>
      <c r="AE32" s="29"/>
      <c r="AF32" s="29"/>
      <c r="AG32" s="29"/>
      <c r="AH32" s="28"/>
      <c r="AI32" s="1606" t="s">
        <v>642</v>
      </c>
      <c r="AJ32" s="1606"/>
      <c r="AK32" s="854" t="str">
        <f>IF(P32="","",(P32))</f>
        <v/>
      </c>
      <c r="AL32" s="29"/>
      <c r="AM32" s="29"/>
      <c r="AN32" s="29"/>
      <c r="AP32" s="616" t="s">
        <v>2387</v>
      </c>
    </row>
    <row r="33" spans="1:45" ht="26.1" customHeight="1" thickTop="1" thickBot="1">
      <c r="A33" s="12"/>
      <c r="B33" s="1603" t="s">
        <v>46</v>
      </c>
      <c r="C33" s="1603"/>
      <c r="D33" s="1650"/>
      <c r="E33" s="1650"/>
      <c r="F33" s="1650"/>
      <c r="G33" s="1650"/>
      <c r="H33" s="1650"/>
      <c r="I33" s="1650"/>
      <c r="J33" s="15"/>
      <c r="K33" s="1655"/>
      <c r="L33" s="1655"/>
      <c r="M33" s="8"/>
      <c r="N33" s="1607"/>
      <c r="O33" s="1607"/>
      <c r="P33" s="8"/>
      <c r="Q33" s="13"/>
      <c r="R33" s="8"/>
      <c r="S33" s="8"/>
      <c r="V33" s="12"/>
      <c r="W33" s="4" t="s">
        <v>46</v>
      </c>
      <c r="Y33" s="18" t="str">
        <f>IF(D33="","",(D33))</f>
        <v/>
      </c>
      <c r="Z33" s="18"/>
      <c r="AA33" s="18"/>
      <c r="AB33" s="18"/>
      <c r="AC33" s="18"/>
      <c r="AD33" s="18"/>
      <c r="AE33" s="15"/>
      <c r="AF33" s="18" t="str">
        <f>IF(K33="","",(K33))</f>
        <v/>
      </c>
      <c r="AG33" s="18"/>
      <c r="AH33" s="8"/>
      <c r="AI33" s="854" t="str">
        <f>IF(N33="","",(N33))</f>
        <v/>
      </c>
      <c r="AJ33" s="29"/>
      <c r="AK33" s="8"/>
      <c r="AL33" s="19" t="str">
        <f>IF(Q33="","",(Q33))</f>
        <v/>
      </c>
      <c r="AM33" s="8"/>
      <c r="AN33" s="8"/>
      <c r="AP33" s="22" t="s">
        <v>1598</v>
      </c>
    </row>
    <row r="34" spans="1:45" ht="15" customHeight="1" thickTop="1">
      <c r="A34" s="12"/>
      <c r="D34" s="1604" t="s">
        <v>413</v>
      </c>
      <c r="E34" s="1604"/>
      <c r="F34" s="1604"/>
      <c r="G34" s="1604"/>
      <c r="H34" s="1604"/>
      <c r="I34" s="1604"/>
      <c r="J34" s="21"/>
      <c r="K34" s="1604" t="s">
        <v>414</v>
      </c>
      <c r="L34" s="1604"/>
      <c r="M34" s="21"/>
      <c r="N34" s="1604" t="s">
        <v>417</v>
      </c>
      <c r="O34" s="1604"/>
      <c r="P34" s="21"/>
      <c r="Q34" s="12" t="s">
        <v>416</v>
      </c>
      <c r="R34" s="12"/>
      <c r="S34" s="12"/>
      <c r="V34" s="12"/>
      <c r="Y34" s="1604" t="s">
        <v>413</v>
      </c>
      <c r="Z34" s="1604"/>
      <c r="AA34" s="1604"/>
      <c r="AB34" s="1604"/>
      <c r="AC34" s="1604"/>
      <c r="AD34" s="1604"/>
      <c r="AE34" s="21"/>
      <c r="AF34" s="1604" t="s">
        <v>414</v>
      </c>
      <c r="AG34" s="1604"/>
      <c r="AH34" s="21"/>
      <c r="AI34" s="1604" t="s">
        <v>417</v>
      </c>
      <c r="AJ34" s="1604"/>
      <c r="AK34" s="21"/>
      <c r="AL34" s="12" t="s">
        <v>416</v>
      </c>
      <c r="AM34" s="12"/>
      <c r="AN34" s="12"/>
    </row>
    <row r="35" spans="1:45" ht="5.0999999999999996" customHeight="1">
      <c r="A35" s="12"/>
      <c r="D35" s="21"/>
      <c r="E35" s="21"/>
      <c r="F35" s="21"/>
      <c r="G35" s="21"/>
      <c r="H35" s="21"/>
      <c r="I35" s="21"/>
      <c r="J35" s="21"/>
      <c r="K35" s="21"/>
      <c r="L35" s="21"/>
      <c r="M35" s="21"/>
      <c r="N35" s="21"/>
      <c r="O35" s="21"/>
      <c r="P35" s="21"/>
      <c r="Q35" s="12"/>
      <c r="R35" s="12"/>
      <c r="S35" s="12"/>
      <c r="V35" s="12"/>
      <c r="Y35" s="21"/>
      <c r="Z35" s="21"/>
      <c r="AA35" s="21"/>
      <c r="AB35" s="21"/>
      <c r="AC35" s="21"/>
      <c r="AD35" s="21"/>
      <c r="AE35" s="21"/>
      <c r="AF35" s="21"/>
      <c r="AG35" s="21"/>
      <c r="AH35" s="21"/>
      <c r="AI35" s="21"/>
      <c r="AJ35" s="21"/>
      <c r="AK35" s="21"/>
      <c r="AL35" s="12"/>
      <c r="AM35" s="12"/>
      <c r="AN35" s="12"/>
    </row>
    <row r="36" spans="1:45" ht="17.100000000000001" customHeight="1" thickBot="1">
      <c r="A36" s="12"/>
      <c r="B36" s="1603" t="s">
        <v>528</v>
      </c>
      <c r="C36" s="1603"/>
      <c r="D36" s="1605"/>
      <c r="E36" s="1605"/>
      <c r="F36" s="21"/>
      <c r="G36" s="23"/>
      <c r="H36" s="21"/>
      <c r="I36" s="1605"/>
      <c r="J36" s="1605"/>
      <c r="K36" s="1605"/>
      <c r="L36" s="1605"/>
      <c r="M36" s="24"/>
      <c r="N36" s="1609"/>
      <c r="O36" s="1609"/>
      <c r="P36" s="1609"/>
      <c r="Q36" s="1609"/>
      <c r="R36" s="8"/>
      <c r="S36" s="13"/>
      <c r="V36" s="12"/>
      <c r="W36" s="4" t="s">
        <v>528</v>
      </c>
      <c r="Y36" s="29" t="str">
        <f>IF(D36="","",(D36))</f>
        <v/>
      </c>
      <c r="Z36" s="29"/>
      <c r="AA36" s="21"/>
      <c r="AB36" s="30" t="str">
        <f>IF(G36="","",(G36))</f>
        <v/>
      </c>
      <c r="AC36" s="21"/>
      <c r="AD36" s="29" t="str">
        <f>IF(I36="","",(I36))</f>
        <v/>
      </c>
      <c r="AE36" s="29"/>
      <c r="AF36" s="29"/>
      <c r="AG36" s="29"/>
      <c r="AH36" s="24"/>
      <c r="AI36" s="31" t="str">
        <f>IF(N36="","",(N36))</f>
        <v/>
      </c>
      <c r="AJ36" s="31"/>
      <c r="AK36" s="31"/>
      <c r="AL36" s="31"/>
      <c r="AM36" s="8"/>
      <c r="AN36" s="19" t="str">
        <f>IF(S36="","",(S36))</f>
        <v/>
      </c>
    </row>
    <row r="37" spans="1:45" s="8" customFormat="1" ht="15" customHeight="1" thickTop="1">
      <c r="A37" s="26"/>
      <c r="D37" s="21" t="s">
        <v>524</v>
      </c>
      <c r="E37" s="21"/>
      <c r="F37" s="21"/>
      <c r="G37" s="21" t="s">
        <v>495</v>
      </c>
      <c r="H37" s="21"/>
      <c r="I37" s="8" t="s">
        <v>525</v>
      </c>
      <c r="K37" s="26"/>
      <c r="L37" s="24"/>
      <c r="M37" s="24"/>
      <c r="N37" s="1602" t="s">
        <v>2028</v>
      </c>
      <c r="O37" s="1602"/>
      <c r="P37" s="1602"/>
      <c r="Q37" s="1602"/>
      <c r="S37" s="8" t="s">
        <v>526</v>
      </c>
      <c r="U37" s="27"/>
      <c r="V37" s="26"/>
      <c r="Y37" s="21" t="s">
        <v>524</v>
      </c>
      <c r="Z37" s="21"/>
      <c r="AA37" s="21"/>
      <c r="AB37" s="21" t="s">
        <v>495</v>
      </c>
      <c r="AC37" s="21"/>
      <c r="AD37" s="8" t="s">
        <v>525</v>
      </c>
      <c r="AF37" s="26"/>
      <c r="AG37" s="24"/>
      <c r="AH37" s="24"/>
      <c r="AI37" s="8" t="s">
        <v>523</v>
      </c>
      <c r="AN37" s="8" t="s">
        <v>526</v>
      </c>
      <c r="AS37" s="27"/>
    </row>
    <row r="38" spans="1:45" s="8" customFormat="1" ht="5.0999999999999996" customHeight="1">
      <c r="A38" s="26"/>
      <c r="B38" s="927"/>
      <c r="C38" s="927"/>
      <c r="D38" s="936"/>
      <c r="E38" s="936"/>
      <c r="F38" s="936"/>
      <c r="G38" s="936"/>
      <c r="H38" s="936"/>
      <c r="I38" s="927"/>
      <c r="J38" s="927"/>
      <c r="K38" s="935"/>
      <c r="L38" s="933"/>
      <c r="M38" s="933"/>
      <c r="N38" s="925"/>
      <c r="O38" s="925"/>
      <c r="P38" s="925"/>
      <c r="Q38" s="925"/>
      <c r="R38" s="927"/>
      <c r="S38" s="927"/>
      <c r="U38" s="27"/>
      <c r="V38" s="26"/>
      <c r="Y38" s="21"/>
      <c r="Z38" s="21"/>
      <c r="AA38" s="21"/>
      <c r="AB38" s="21"/>
      <c r="AC38" s="21"/>
      <c r="AF38" s="26"/>
      <c r="AG38" s="24"/>
      <c r="AH38" s="24"/>
      <c r="AI38" s="1632" t="s">
        <v>529</v>
      </c>
      <c r="AJ38" s="1632"/>
      <c r="AK38" s="1632"/>
      <c r="AL38" s="1632"/>
      <c r="AS38" s="27"/>
    </row>
    <row r="39" spans="1:45" ht="17.100000000000001" customHeight="1" thickBot="1">
      <c r="A39" s="12"/>
      <c r="B39" s="1598" t="s">
        <v>527</v>
      </c>
      <c r="C39" s="1598"/>
      <c r="D39" s="1600"/>
      <c r="E39" s="1600"/>
      <c r="F39" s="1600"/>
      <c r="G39" s="1600"/>
      <c r="H39" s="1600"/>
      <c r="I39" s="1600"/>
      <c r="J39" s="1600"/>
      <c r="K39" s="1600"/>
      <c r="L39" s="1600"/>
      <c r="M39" s="933"/>
      <c r="N39" s="1599" t="s">
        <v>2035</v>
      </c>
      <c r="O39" s="1599"/>
      <c r="P39" s="1599"/>
      <c r="Q39" s="1599"/>
      <c r="R39" s="1599"/>
      <c r="S39" s="929"/>
      <c r="V39" s="12"/>
      <c r="W39" s="8" t="s">
        <v>527</v>
      </c>
      <c r="X39" s="8"/>
      <c r="Y39" s="29" t="str">
        <f>IF(D39="","",(D39))</f>
        <v/>
      </c>
      <c r="Z39" s="29"/>
      <c r="AA39" s="29"/>
      <c r="AB39" s="29"/>
      <c r="AC39" s="29"/>
      <c r="AD39" s="29"/>
      <c r="AE39" s="29"/>
      <c r="AF39" s="29"/>
      <c r="AG39" s="29"/>
      <c r="AH39" s="8"/>
      <c r="AI39" s="1632"/>
      <c r="AJ39" s="1632"/>
      <c r="AK39" s="1632"/>
      <c r="AL39" s="1632"/>
      <c r="AM39" s="8"/>
      <c r="AN39" s="8"/>
    </row>
    <row r="40" spans="1:45" ht="15" customHeight="1" thickTop="1">
      <c r="A40" s="12"/>
      <c r="B40" s="1597" t="s">
        <v>2192</v>
      </c>
      <c r="C40" s="1597"/>
      <c r="D40" s="1597"/>
      <c r="E40" s="1597"/>
      <c r="F40" s="1597"/>
      <c r="G40" s="1597"/>
      <c r="H40" s="1597"/>
      <c r="I40" s="1597"/>
      <c r="J40" s="1597"/>
      <c r="K40" s="1597"/>
      <c r="L40" s="1597"/>
      <c r="M40" s="1597"/>
      <c r="N40" s="1597"/>
      <c r="O40" s="1597"/>
      <c r="P40" s="1597"/>
      <c r="Q40" s="1597"/>
      <c r="R40" s="1597"/>
      <c r="S40" s="1597"/>
      <c r="V40" s="12"/>
    </row>
    <row r="41" spans="1:45" ht="28.5" customHeight="1" thickBot="1">
      <c r="B41" s="1668" t="s">
        <v>1488</v>
      </c>
      <c r="C41" s="1668"/>
      <c r="D41" s="1607"/>
      <c r="E41" s="1607"/>
      <c r="F41" s="1607"/>
      <c r="G41" s="1608" t="s">
        <v>530</v>
      </c>
      <c r="H41" s="1608"/>
      <c r="I41" s="1608"/>
      <c r="J41" s="1608"/>
      <c r="K41" s="1608"/>
      <c r="L41" s="1607"/>
      <c r="M41" s="1607"/>
      <c r="N41" s="1607"/>
      <c r="O41" s="1608" t="s">
        <v>531</v>
      </c>
      <c r="P41" s="1608"/>
      <c r="Q41" s="1608"/>
      <c r="R41" s="1601"/>
      <c r="S41" s="1601"/>
      <c r="W41" s="4" t="s">
        <v>48</v>
      </c>
      <c r="Y41" s="29" t="str">
        <f>IF(D41="","",(D41))</f>
        <v/>
      </c>
      <c r="Z41" s="29"/>
      <c r="AA41" s="32"/>
      <c r="AB41" s="1608" t="s">
        <v>530</v>
      </c>
      <c r="AC41" s="1608"/>
      <c r="AD41" s="1608"/>
      <c r="AE41" s="1608"/>
      <c r="AF41" s="1608"/>
      <c r="AG41" s="1616"/>
      <c r="AH41" s="1616"/>
      <c r="AI41" s="1616"/>
      <c r="AJ41" s="1608" t="s">
        <v>531</v>
      </c>
      <c r="AK41" s="1608"/>
      <c r="AL41" s="1608"/>
      <c r="AM41" s="1631"/>
      <c r="AN41" s="1631"/>
    </row>
    <row r="42" spans="1:45" ht="12" customHeight="1" thickTop="1"/>
    <row r="43" spans="1:45" ht="15" customHeight="1">
      <c r="B43" s="1603" t="s">
        <v>2044</v>
      </c>
      <c r="C43" s="1603"/>
      <c r="D43" s="1603"/>
      <c r="E43" s="1603"/>
      <c r="F43" s="1603"/>
      <c r="G43" s="1603"/>
      <c r="H43" s="1603"/>
      <c r="I43" s="1603"/>
      <c r="J43" s="1603"/>
      <c r="K43" s="1603"/>
      <c r="L43" s="1603"/>
      <c r="M43" s="1603"/>
      <c r="N43" s="1603"/>
      <c r="O43" s="1603"/>
      <c r="P43" s="1603"/>
      <c r="Q43" s="1603"/>
      <c r="R43" s="1603"/>
      <c r="S43" s="1603"/>
      <c r="W43" s="4" t="s">
        <v>32</v>
      </c>
    </row>
    <row r="44" spans="1:45" ht="12" customHeight="1" thickBot="1"/>
    <row r="45" spans="1:45" ht="12" customHeight="1" thickTop="1">
      <c r="B45" s="1613"/>
      <c r="C45" s="1614"/>
      <c r="D45" s="1614"/>
      <c r="E45" s="1615"/>
      <c r="F45" s="1613" t="s">
        <v>49</v>
      </c>
      <c r="G45" s="1614"/>
      <c r="H45" s="1614"/>
      <c r="I45" s="1615"/>
      <c r="J45" s="1613" t="s">
        <v>532</v>
      </c>
      <c r="K45" s="1614"/>
      <c r="L45" s="1614"/>
      <c r="M45" s="1613"/>
      <c r="N45" s="1614"/>
      <c r="O45" s="1614"/>
      <c r="P45" s="1614"/>
      <c r="Q45" s="1615"/>
      <c r="R45" s="1613" t="s">
        <v>943</v>
      </c>
      <c r="S45" s="1615"/>
      <c r="W45" s="1613"/>
      <c r="X45" s="1614"/>
      <c r="Y45" s="1614"/>
      <c r="Z45" s="1615"/>
      <c r="AA45" s="33"/>
      <c r="AB45" s="1613" t="s">
        <v>49</v>
      </c>
      <c r="AC45" s="1614"/>
      <c r="AD45" s="1615"/>
      <c r="AE45" s="1613" t="s">
        <v>532</v>
      </c>
      <c r="AF45" s="1614"/>
      <c r="AG45" s="1614"/>
      <c r="AH45" s="1613"/>
      <c r="AI45" s="1614"/>
      <c r="AJ45" s="1614"/>
      <c r="AK45" s="1614"/>
      <c r="AL45" s="1615"/>
      <c r="AM45" s="1613" t="s">
        <v>943</v>
      </c>
      <c r="AN45" s="1615"/>
    </row>
    <row r="46" spans="1:45" ht="12" customHeight="1">
      <c r="B46" s="1610"/>
      <c r="C46" s="1611"/>
      <c r="D46" s="1611"/>
      <c r="E46" s="1612"/>
      <c r="F46" s="1610" t="s">
        <v>162</v>
      </c>
      <c r="G46" s="1611"/>
      <c r="H46" s="1611"/>
      <c r="I46" s="1612"/>
      <c r="J46" s="1610" t="s">
        <v>214</v>
      </c>
      <c r="K46" s="1611"/>
      <c r="L46" s="1611"/>
      <c r="M46" s="1610"/>
      <c r="N46" s="1611"/>
      <c r="O46" s="1611"/>
      <c r="P46" s="1611"/>
      <c r="Q46" s="1612"/>
      <c r="R46" s="1610" t="s">
        <v>944</v>
      </c>
      <c r="S46" s="1612"/>
      <c r="W46" s="1610"/>
      <c r="X46" s="1611"/>
      <c r="Y46" s="1611"/>
      <c r="Z46" s="1612"/>
      <c r="AA46" s="34"/>
      <c r="AB46" s="1610" t="s">
        <v>162</v>
      </c>
      <c r="AC46" s="1611"/>
      <c r="AD46" s="1612"/>
      <c r="AE46" s="1610" t="s">
        <v>214</v>
      </c>
      <c r="AF46" s="1611"/>
      <c r="AG46" s="1611"/>
      <c r="AH46" s="1610"/>
      <c r="AI46" s="1611"/>
      <c r="AJ46" s="1611"/>
      <c r="AK46" s="1611"/>
      <c r="AL46" s="1612"/>
      <c r="AM46" s="1610" t="s">
        <v>944</v>
      </c>
      <c r="AN46" s="1612"/>
    </row>
    <row r="47" spans="1:45" ht="12" customHeight="1" thickBot="1">
      <c r="B47" s="1610" t="s">
        <v>50</v>
      </c>
      <c r="C47" s="1611"/>
      <c r="D47" s="1611"/>
      <c r="E47" s="1612"/>
      <c r="F47" s="1629" t="s">
        <v>534</v>
      </c>
      <c r="G47" s="1634"/>
      <c r="H47" s="1634"/>
      <c r="I47" s="1630"/>
      <c r="J47" s="1629" t="s">
        <v>315</v>
      </c>
      <c r="K47" s="1634"/>
      <c r="L47" s="1634"/>
      <c r="M47" s="1629" t="s">
        <v>533</v>
      </c>
      <c r="N47" s="1634"/>
      <c r="O47" s="1634"/>
      <c r="P47" s="1634"/>
      <c r="Q47" s="1630"/>
      <c r="R47" s="1629" t="s">
        <v>943</v>
      </c>
      <c r="S47" s="1630"/>
      <c r="W47" s="1610" t="s">
        <v>50</v>
      </c>
      <c r="X47" s="1611"/>
      <c r="Y47" s="1611"/>
      <c r="Z47" s="1612"/>
      <c r="AA47" s="34"/>
      <c r="AB47" s="1629" t="s">
        <v>534</v>
      </c>
      <c r="AC47" s="1634"/>
      <c r="AD47" s="1630"/>
      <c r="AE47" s="1629" t="s">
        <v>315</v>
      </c>
      <c r="AF47" s="1634"/>
      <c r="AG47" s="1634"/>
      <c r="AH47" s="1629" t="s">
        <v>533</v>
      </c>
      <c r="AI47" s="1634"/>
      <c r="AJ47" s="1634"/>
      <c r="AK47" s="1634"/>
      <c r="AL47" s="1630"/>
      <c r="AM47" s="1629" t="s">
        <v>943</v>
      </c>
      <c r="AN47" s="1630"/>
    </row>
    <row r="48" spans="1:45" ht="17.100000000000001" customHeight="1" thickTop="1" thickBot="1">
      <c r="B48" s="1659"/>
      <c r="C48" s="1650"/>
      <c r="D48" s="1650"/>
      <c r="E48" s="1660"/>
      <c r="F48" s="1657"/>
      <c r="G48" s="1651"/>
      <c r="H48" s="1651"/>
      <c r="I48" s="1658"/>
      <c r="J48" s="1661"/>
      <c r="K48" s="1662"/>
      <c r="L48" s="1663"/>
      <c r="M48" s="1664"/>
      <c r="N48" s="1665"/>
      <c r="O48" s="1665"/>
      <c r="P48" s="1665"/>
      <c r="Q48" s="1666"/>
      <c r="R48" s="1664"/>
      <c r="S48" s="1666"/>
      <c r="W48" s="1623"/>
      <c r="X48" s="1618"/>
      <c r="Y48" s="1618"/>
      <c r="Z48" s="1626"/>
      <c r="AA48" s="35"/>
      <c r="AB48" s="1641"/>
      <c r="AC48" s="1642"/>
      <c r="AD48" s="1643"/>
      <c r="AE48" s="1638"/>
      <c r="AF48" s="1639"/>
      <c r="AG48" s="1640"/>
      <c r="AH48" s="1620"/>
      <c r="AI48" s="1622"/>
      <c r="AJ48" s="1622"/>
      <c r="AK48" s="1622"/>
      <c r="AL48" s="1621"/>
      <c r="AM48" s="1620"/>
      <c r="AN48" s="1621"/>
    </row>
    <row r="49" spans="2:40" ht="17.100000000000001" customHeight="1" thickTop="1" thickBot="1">
      <c r="B49" s="1659"/>
      <c r="C49" s="1669"/>
      <c r="D49" s="1669"/>
      <c r="E49" s="1670"/>
      <c r="F49" s="1657"/>
      <c r="G49" s="1651"/>
      <c r="H49" s="1651"/>
      <c r="I49" s="1658"/>
      <c r="J49" s="1661"/>
      <c r="K49" s="1662"/>
      <c r="L49" s="1663"/>
      <c r="M49" s="1664"/>
      <c r="N49" s="1665"/>
      <c r="O49" s="1665"/>
      <c r="P49" s="1665"/>
      <c r="Q49" s="1666"/>
      <c r="R49" s="1664"/>
      <c r="S49" s="1666"/>
      <c r="W49" s="1623"/>
      <c r="X49" s="1624"/>
      <c r="Y49" s="1624"/>
      <c r="Z49" s="1625"/>
      <c r="AA49" s="36"/>
      <c r="AB49" s="1641"/>
      <c r="AC49" s="1642"/>
      <c r="AD49" s="1643"/>
      <c r="AE49" s="1638"/>
      <c r="AF49" s="1639"/>
      <c r="AG49" s="1640"/>
      <c r="AH49" s="1620"/>
      <c r="AI49" s="1622"/>
      <c r="AJ49" s="1622"/>
      <c r="AK49" s="1622"/>
      <c r="AL49" s="1621"/>
      <c r="AM49" s="1620"/>
      <c r="AN49" s="1621"/>
    </row>
    <row r="50" spans="2:40" ht="17.100000000000001" customHeight="1" thickTop="1" thickBot="1">
      <c r="B50" s="1659"/>
      <c r="C50" s="1669"/>
      <c r="D50" s="1669"/>
      <c r="E50" s="1670"/>
      <c r="F50" s="1657"/>
      <c r="G50" s="1651"/>
      <c r="H50" s="1651"/>
      <c r="I50" s="1658"/>
      <c r="J50" s="1661"/>
      <c r="K50" s="1662"/>
      <c r="L50" s="1663"/>
      <c r="M50" s="1664"/>
      <c r="N50" s="1665"/>
      <c r="O50" s="1665"/>
      <c r="P50" s="1665"/>
      <c r="Q50" s="1666"/>
      <c r="R50" s="1664"/>
      <c r="S50" s="1666"/>
      <c r="W50" s="1623"/>
      <c r="X50" s="1624"/>
      <c r="Y50" s="1624"/>
      <c r="Z50" s="1625"/>
      <c r="AA50" s="36"/>
      <c r="AB50" s="1641"/>
      <c r="AC50" s="1642"/>
      <c r="AD50" s="1643"/>
      <c r="AE50" s="1638"/>
      <c r="AF50" s="1639"/>
      <c r="AG50" s="1640"/>
      <c r="AH50" s="1620"/>
      <c r="AI50" s="1622"/>
      <c r="AJ50" s="1622"/>
      <c r="AK50" s="1622"/>
      <c r="AL50" s="1621"/>
      <c r="AM50" s="1620"/>
      <c r="AN50" s="1621"/>
    </row>
    <row r="51" spans="2:40" ht="17.100000000000001" customHeight="1" thickTop="1" thickBot="1">
      <c r="B51" s="1659"/>
      <c r="C51" s="1669"/>
      <c r="D51" s="1669"/>
      <c r="E51" s="1670"/>
      <c r="F51" s="1657"/>
      <c r="G51" s="1651"/>
      <c r="H51" s="1651"/>
      <c r="I51" s="1658"/>
      <c r="J51" s="1661"/>
      <c r="K51" s="1662"/>
      <c r="L51" s="1663"/>
      <c r="M51" s="1664"/>
      <c r="N51" s="1665"/>
      <c r="O51" s="1665"/>
      <c r="P51" s="1665"/>
      <c r="Q51" s="1666"/>
      <c r="R51" s="1664"/>
      <c r="S51" s="1666"/>
      <c r="W51" s="1623"/>
      <c r="X51" s="1624"/>
      <c r="Y51" s="1624"/>
      <c r="Z51" s="1625"/>
      <c r="AA51" s="36"/>
      <c r="AB51" s="1641"/>
      <c r="AC51" s="1642"/>
      <c r="AD51" s="1643"/>
      <c r="AE51" s="1638"/>
      <c r="AF51" s="1639"/>
      <c r="AG51" s="1640"/>
      <c r="AH51" s="1620"/>
      <c r="AI51" s="1622"/>
      <c r="AJ51" s="1622"/>
      <c r="AK51" s="1622"/>
      <c r="AL51" s="1621"/>
      <c r="AM51" s="1620"/>
      <c r="AN51" s="1621"/>
    </row>
    <row r="52" spans="2:40" ht="17.100000000000001" customHeight="1" thickTop="1" thickBot="1">
      <c r="B52" s="1659"/>
      <c r="C52" s="1669"/>
      <c r="D52" s="1669"/>
      <c r="E52" s="1670"/>
      <c r="F52" s="1657"/>
      <c r="G52" s="1651"/>
      <c r="H52" s="1651"/>
      <c r="I52" s="1658"/>
      <c r="J52" s="1661"/>
      <c r="K52" s="1662"/>
      <c r="L52" s="1663"/>
      <c r="M52" s="1664"/>
      <c r="N52" s="1665"/>
      <c r="O52" s="1665"/>
      <c r="P52" s="1665"/>
      <c r="Q52" s="1666"/>
      <c r="R52" s="1664"/>
      <c r="S52" s="1666"/>
      <c r="W52" s="1623"/>
      <c r="X52" s="1624"/>
      <c r="Y52" s="1624"/>
      <c r="Z52" s="1625"/>
      <c r="AA52" s="36"/>
      <c r="AB52" s="1641"/>
      <c r="AC52" s="1642"/>
      <c r="AD52" s="1643"/>
      <c r="AE52" s="1638"/>
      <c r="AF52" s="1639"/>
      <c r="AG52" s="1640"/>
      <c r="AH52" s="1620"/>
      <c r="AI52" s="1622"/>
      <c r="AJ52" s="1622"/>
      <c r="AK52" s="1622"/>
      <c r="AL52" s="1621"/>
      <c r="AM52" s="1620"/>
      <c r="AN52" s="1621"/>
    </row>
    <row r="53" spans="2:40" ht="20.100000000000001" customHeight="1" thickTop="1" thickBot="1">
      <c r="E53" s="37"/>
      <c r="F53" s="37"/>
      <c r="G53" s="37" t="s">
        <v>51</v>
      </c>
      <c r="H53" s="37"/>
      <c r="I53" s="15"/>
      <c r="J53" s="1635">
        <f>SUM(J48:L52)</f>
        <v>0</v>
      </c>
      <c r="K53" s="1636"/>
      <c r="L53" s="1637"/>
      <c r="M53" s="38"/>
      <c r="N53" s="38"/>
      <c r="O53" s="38"/>
      <c r="P53" s="1619"/>
      <c r="Q53" s="1619"/>
      <c r="R53" s="1619"/>
      <c r="S53" s="1619"/>
      <c r="Z53" s="37"/>
      <c r="AA53" s="37"/>
      <c r="AB53" s="37" t="s">
        <v>51</v>
      </c>
      <c r="AC53" s="37"/>
      <c r="AD53" s="15"/>
      <c r="AE53" s="1635">
        <f>SUM(AE48:AG52)</f>
        <v>0</v>
      </c>
      <c r="AF53" s="1636"/>
      <c r="AG53" s="1637"/>
      <c r="AH53" s="38"/>
      <c r="AI53" s="38"/>
      <c r="AJ53" s="38"/>
      <c r="AK53" s="1619"/>
      <c r="AL53" s="1619"/>
      <c r="AM53" s="1619"/>
      <c r="AN53" s="1619"/>
    </row>
    <row r="54" spans="2:40" ht="13.5" thickTop="1">
      <c r="B54" s="1603" t="s">
        <v>2045</v>
      </c>
      <c r="C54" s="1603"/>
      <c r="D54" s="1603"/>
      <c r="E54" s="1603"/>
      <c r="F54" s="1603"/>
      <c r="G54" s="1603"/>
      <c r="H54" s="1603"/>
      <c r="I54" s="1603"/>
      <c r="J54" s="1603"/>
      <c r="K54" s="1603"/>
      <c r="L54" s="1603"/>
      <c r="M54" s="1603"/>
      <c r="N54" s="1603"/>
      <c r="O54" s="1603"/>
      <c r="P54" s="1603"/>
      <c r="Q54" s="1603"/>
      <c r="R54" s="1603"/>
      <c r="S54" s="1603"/>
    </row>
    <row r="55" spans="2:40">
      <c r="X55" s="22" t="s">
        <v>1007</v>
      </c>
    </row>
    <row r="56" spans="2:40">
      <c r="X56" s="22" t="s">
        <v>1008</v>
      </c>
    </row>
    <row r="57" spans="2:40">
      <c r="X57" s="22" t="s">
        <v>1011</v>
      </c>
    </row>
    <row r="58" spans="2:40">
      <c r="X58" s="22" t="s">
        <v>1012</v>
      </c>
    </row>
    <row r="59" spans="2:40">
      <c r="X59" s="22" t="s">
        <v>1009</v>
      </c>
    </row>
    <row r="60" spans="2:40">
      <c r="X60" s="22" t="s">
        <v>1010</v>
      </c>
    </row>
    <row r="61" spans="2:40">
      <c r="X61" s="22" t="s">
        <v>1013</v>
      </c>
    </row>
    <row r="62" spans="2:40">
      <c r="X62" s="22" t="s">
        <v>1014</v>
      </c>
    </row>
    <row r="63" spans="2:40">
      <c r="X63" s="22" t="s">
        <v>1015</v>
      </c>
    </row>
  </sheetData>
  <sheetProtection algorithmName="SHA-512" hashValue="kPry56b6V0nKOJl4OywX9BaA9QYN/ckgteKaUHEd8XuImCdKWKN16PjV5bP5JM1Q4rgbde4CvgDXGF+XIgraLQ==" saltValue="AFaHlri7tEsOA9ZZH89yWA==" spinCount="100000" sheet="1" objects="1" scenarios="1"/>
  <dataConsolidate/>
  <mergeCells count="188">
    <mergeCell ref="Y18:Z18"/>
    <mergeCell ref="AL14:AL15"/>
    <mergeCell ref="Y15:AJ15"/>
    <mergeCell ref="B41:C41"/>
    <mergeCell ref="J53:L53"/>
    <mergeCell ref="P53:S53"/>
    <mergeCell ref="B52:E52"/>
    <mergeCell ref="J52:L52"/>
    <mergeCell ref="M52:Q52"/>
    <mergeCell ref="R52:S52"/>
    <mergeCell ref="B51:E51"/>
    <mergeCell ref="J51:L51"/>
    <mergeCell ref="M51:Q51"/>
    <mergeCell ref="R51:S51"/>
    <mergeCell ref="F51:I51"/>
    <mergeCell ref="F52:I52"/>
    <mergeCell ref="B50:E50"/>
    <mergeCell ref="J50:L50"/>
    <mergeCell ref="M50:Q50"/>
    <mergeCell ref="R50:S50"/>
    <mergeCell ref="B49:E49"/>
    <mergeCell ref="J49:L49"/>
    <mergeCell ref="M49:Q49"/>
    <mergeCell ref="R49:S49"/>
    <mergeCell ref="R45:S45"/>
    <mergeCell ref="F46:I46"/>
    <mergeCell ref="F45:I45"/>
    <mergeCell ref="F49:I49"/>
    <mergeCell ref="F50:I50"/>
    <mergeCell ref="B48:E48"/>
    <mergeCell ref="J48:L48"/>
    <mergeCell ref="M48:Q48"/>
    <mergeCell ref="R48:S48"/>
    <mergeCell ref="B47:E47"/>
    <mergeCell ref="J47:L47"/>
    <mergeCell ref="M47:Q47"/>
    <mergeCell ref="R47:S47"/>
    <mergeCell ref="F48:I48"/>
    <mergeCell ref="F47:I47"/>
    <mergeCell ref="N17:O17"/>
    <mergeCell ref="D22:S22"/>
    <mergeCell ref="D23:I23"/>
    <mergeCell ref="K23:L23"/>
    <mergeCell ref="N23:O23"/>
    <mergeCell ref="Y24:AD24"/>
    <mergeCell ref="D26:E26"/>
    <mergeCell ref="Y26:Z26"/>
    <mergeCell ref="D33:I33"/>
    <mergeCell ref="K33:L33"/>
    <mergeCell ref="N33:O33"/>
    <mergeCell ref="B21:S21"/>
    <mergeCell ref="W21:AN21"/>
    <mergeCell ref="AF17:AG17"/>
    <mergeCell ref="Y17:AD17"/>
    <mergeCell ref="D24:I24"/>
    <mergeCell ref="K24:L24"/>
    <mergeCell ref="N24:O24"/>
    <mergeCell ref="I26:L26"/>
    <mergeCell ref="N26:Q26"/>
    <mergeCell ref="D17:I17"/>
    <mergeCell ref="K17:L17"/>
    <mergeCell ref="B20:S20"/>
    <mergeCell ref="B22:C22"/>
    <mergeCell ref="A10:S10"/>
    <mergeCell ref="D16:I16"/>
    <mergeCell ref="K16:L16"/>
    <mergeCell ref="N16:O16"/>
    <mergeCell ref="P3:S3"/>
    <mergeCell ref="P4:S4"/>
    <mergeCell ref="P5:S5"/>
    <mergeCell ref="P6:S6"/>
    <mergeCell ref="P7:S7"/>
    <mergeCell ref="E12:L12"/>
    <mergeCell ref="Q14:Q15"/>
    <mergeCell ref="D15:O15"/>
    <mergeCell ref="C5:N5"/>
    <mergeCell ref="AK6:AN6"/>
    <mergeCell ref="AI32:AJ32"/>
    <mergeCell ref="AE53:AG53"/>
    <mergeCell ref="AE48:AG48"/>
    <mergeCell ref="AE49:AG49"/>
    <mergeCell ref="AE50:AG50"/>
    <mergeCell ref="AE51:AG51"/>
    <mergeCell ref="AE52:AG52"/>
    <mergeCell ref="AB49:AD49"/>
    <mergeCell ref="AB50:AD50"/>
    <mergeCell ref="AB51:AD51"/>
    <mergeCell ref="AB52:AD52"/>
    <mergeCell ref="AE45:AG45"/>
    <mergeCell ref="AE46:AG46"/>
    <mergeCell ref="AH51:AL51"/>
    <mergeCell ref="AH52:AL52"/>
    <mergeCell ref="AE47:AG47"/>
    <mergeCell ref="AB45:AD45"/>
    <mergeCell ref="AB46:AD46"/>
    <mergeCell ref="AB47:AD47"/>
    <mergeCell ref="AB48:AD48"/>
    <mergeCell ref="AF23:AG23"/>
    <mergeCell ref="AI23:AJ23"/>
    <mergeCell ref="V10:AN10"/>
    <mergeCell ref="W45:Z45"/>
    <mergeCell ref="W46:Z46"/>
    <mergeCell ref="W48:Z48"/>
    <mergeCell ref="W49:Z49"/>
    <mergeCell ref="W50:Z50"/>
    <mergeCell ref="W51:Z51"/>
    <mergeCell ref="AK4:AN4"/>
    <mergeCell ref="AK3:AN3"/>
    <mergeCell ref="AK5:AN5"/>
    <mergeCell ref="AK7:AN7"/>
    <mergeCell ref="AM48:AN48"/>
    <mergeCell ref="AM46:AN46"/>
    <mergeCell ref="AM47:AN47"/>
    <mergeCell ref="AM45:AN45"/>
    <mergeCell ref="AM41:AN41"/>
    <mergeCell ref="AI38:AL39"/>
    <mergeCell ref="AI26:AL26"/>
    <mergeCell ref="AI17:AJ17"/>
    <mergeCell ref="AH45:AL45"/>
    <mergeCell ref="AH46:AL46"/>
    <mergeCell ref="AH47:AL47"/>
    <mergeCell ref="AH48:AL48"/>
    <mergeCell ref="AI28:AL29"/>
    <mergeCell ref="Z12:AG12"/>
    <mergeCell ref="AK53:AN53"/>
    <mergeCell ref="AM49:AN49"/>
    <mergeCell ref="AM50:AN50"/>
    <mergeCell ref="AM51:AN51"/>
    <mergeCell ref="AM52:AN52"/>
    <mergeCell ref="AH49:AL49"/>
    <mergeCell ref="AH50:AL50"/>
    <mergeCell ref="W52:Z52"/>
    <mergeCell ref="W47:Z47"/>
    <mergeCell ref="Y34:AD34"/>
    <mergeCell ref="AF34:AG34"/>
    <mergeCell ref="AI34:AJ34"/>
    <mergeCell ref="AB41:AF41"/>
    <mergeCell ref="AG41:AI41"/>
    <mergeCell ref="AJ41:AL41"/>
    <mergeCell ref="Y29:AG29"/>
    <mergeCell ref="Y22:AN22"/>
    <mergeCell ref="AD26:AG26"/>
    <mergeCell ref="AF24:AG24"/>
    <mergeCell ref="Y23:AD23"/>
    <mergeCell ref="AI24:AJ24"/>
    <mergeCell ref="B43:S43"/>
    <mergeCell ref="B54:S54"/>
    <mergeCell ref="D34:I34"/>
    <mergeCell ref="K34:L34"/>
    <mergeCell ref="N34:O34"/>
    <mergeCell ref="D32:L32"/>
    <mergeCell ref="N32:O32"/>
    <mergeCell ref="P32:S32"/>
    <mergeCell ref="G41:K41"/>
    <mergeCell ref="L41:N41"/>
    <mergeCell ref="O41:Q41"/>
    <mergeCell ref="R41:S41"/>
    <mergeCell ref="I36:L36"/>
    <mergeCell ref="N36:Q36"/>
    <mergeCell ref="D39:L39"/>
    <mergeCell ref="D36:E36"/>
    <mergeCell ref="D41:F41"/>
    <mergeCell ref="B46:E46"/>
    <mergeCell ref="J46:L46"/>
    <mergeCell ref="M46:Q46"/>
    <mergeCell ref="R46:S46"/>
    <mergeCell ref="B45:E45"/>
    <mergeCell ref="J45:L45"/>
    <mergeCell ref="M45:Q45"/>
    <mergeCell ref="B18:C18"/>
    <mergeCell ref="D18:E18"/>
    <mergeCell ref="K18:L18"/>
    <mergeCell ref="N18:O18"/>
    <mergeCell ref="B40:S40"/>
    <mergeCell ref="B39:C39"/>
    <mergeCell ref="N39:R39"/>
    <mergeCell ref="D29:L29"/>
    <mergeCell ref="N29:P29"/>
    <mergeCell ref="Q29:S29"/>
    <mergeCell ref="N27:Q27"/>
    <mergeCell ref="N37:Q37"/>
    <mergeCell ref="B23:C23"/>
    <mergeCell ref="B26:C26"/>
    <mergeCell ref="B29:C29"/>
    <mergeCell ref="B31:S31"/>
    <mergeCell ref="B32:C32"/>
    <mergeCell ref="B33:C33"/>
    <mergeCell ref="B36:C36"/>
  </mergeCells>
  <phoneticPr fontId="0" type="noConversion"/>
  <dataValidations count="9">
    <dataValidation type="list" errorStyle="warning" showInputMessage="1" showErrorMessage="1" errorTitle="SmartDox" error="The value you entered for the dropdown is not valid." sqref="P32 AK32" xr:uid="{00000000-0002-0000-0000-000000000000}">
      <formula1>SD_D_PL_OwnershipType_Name</formula1>
    </dataValidation>
    <dataValidation type="list" errorStyle="warning" showInputMessage="1" showErrorMessage="1" errorTitle="SmartDox" error="The value you entered for the dropdown is not valid." sqref="N16 AI16" xr:uid="{00000000-0002-0000-0000-000001000000}">
      <formula1>SD_D_PL_Jurisdiction_Name</formula1>
    </dataValidation>
    <dataValidation type="list" errorStyle="warning" showInputMessage="1" showErrorMessage="1" errorTitle="SmartDox" error="The value you entered for the dropdown is not valid." sqref="N33 Q16 N23 AI33 AL16" xr:uid="{00000000-0002-0000-0000-000002000000}">
      <formula1>SD_D_PL_State_Name</formula1>
    </dataValidation>
    <dataValidation type="list" allowBlank="1" showInputMessage="1" showErrorMessage="1" sqref="R49:S52" xr:uid="{00000000-0002-0000-0000-000003000000}">
      <formula1>$AP$20:$AP$22</formula1>
    </dataValidation>
    <dataValidation type="list" allowBlank="1" showInputMessage="1" showErrorMessage="1" sqref="M48:Q52" xr:uid="{00000000-0002-0000-0000-000004000000}">
      <formula1>$X$55:$X$63</formula1>
    </dataValidation>
    <dataValidation type="list" allowBlank="1" showInputMessage="1" showErrorMessage="1" sqref="Z12:AG12 E12:L12" xr:uid="{00000000-0002-0000-0000-000005000000}">
      <formula1>$AP$29:$AP$33</formula1>
    </dataValidation>
    <dataValidation type="textLength" allowBlank="1" showInputMessage="1" showErrorMessage="1" error="Only enter 10-digit number, no dashes or spaces." sqref="N26:Q26 N36:Q36" xr:uid="{00000000-0002-0000-0000-000006000000}">
      <formula1>10</formula1>
      <formula2>10</formula2>
    </dataValidation>
    <dataValidation type="list" allowBlank="1" showInputMessage="1" showErrorMessage="1" sqref="R48:S48 Q29:S29" xr:uid="{00000000-0002-0000-0000-000008000000}">
      <formula1>$AP$20:$AP$21</formula1>
    </dataValidation>
    <dataValidation type="list" allowBlank="1" showInputMessage="1" showErrorMessage="1" sqref="S39" xr:uid="{00000000-0002-0000-0000-000009000000}">
      <formula1>$AP$23:$AP$25</formula1>
    </dataValidation>
  </dataValidations>
  <pageMargins left="0.75" right="0.5" top="1" bottom="0.75" header="0" footer="0.5"/>
  <pageSetup scale="80" orientation="portrait" r:id="rId1"/>
  <headerFooter alignWithMargins="0">
    <oddFooter>&amp;C&amp;A&amp;R&amp;D &amp;T</oddFooter>
  </headerFooter>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AF180"/>
  <sheetViews>
    <sheetView workbookViewId="0"/>
  </sheetViews>
  <sheetFormatPr defaultColWidth="11.42578125" defaultRowHeight="12.75"/>
  <cols>
    <col min="1" max="1" width="4.140625" style="4" customWidth="1"/>
    <col min="2" max="2" width="62.7109375" style="4" customWidth="1"/>
    <col min="3" max="3" width="2.7109375" style="4" customWidth="1"/>
    <col min="4" max="4" width="15.7109375" style="4" customWidth="1"/>
    <col min="5" max="5" width="2.7109375" style="4" customWidth="1"/>
    <col min="6" max="6" width="15.7109375" style="4" customWidth="1"/>
    <col min="7" max="7" width="11.42578125" style="40"/>
    <col min="8" max="8" width="5.7109375" style="41" customWidth="1"/>
    <col min="9" max="9" width="4.140625" style="4" hidden="1" customWidth="1"/>
    <col min="10" max="10" width="60.7109375" style="4" hidden="1" customWidth="1"/>
    <col min="11" max="12" width="2.7109375" style="4" hidden="1" customWidth="1"/>
    <col min="13" max="13" width="15.7109375" style="4" hidden="1" customWidth="1"/>
    <col min="14" max="14" width="2.7109375" style="4" hidden="1" customWidth="1"/>
    <col min="15" max="15" width="15.7109375" style="4" hidden="1" customWidth="1"/>
    <col min="16" max="16" width="5.7109375" style="41" customWidth="1"/>
    <col min="17" max="27" width="10.7109375" style="4" customWidth="1"/>
    <col min="28" max="16384" width="11.42578125" style="40"/>
  </cols>
  <sheetData>
    <row r="1" spans="1:27">
      <c r="A1" s="1302" t="str">
        <f>IF('FORM 1040-1'!D15="","",'FORM 1040-1'!D15)</f>
        <v/>
      </c>
      <c r="B1" s="1303"/>
      <c r="C1" s="1303"/>
      <c r="D1" s="1303"/>
      <c r="E1" s="1303"/>
      <c r="F1" s="1294" t="str">
        <f>IF('FORM 1040-1'!$E$12="","",'FORM 1040-1'!$E$12)</f>
        <v/>
      </c>
      <c r="I1" s="814"/>
      <c r="J1" s="814"/>
      <c r="K1" s="814"/>
      <c r="L1" s="814"/>
      <c r="M1" s="814"/>
      <c r="N1" s="814"/>
      <c r="O1" s="814"/>
      <c r="Q1" s="814"/>
      <c r="R1" s="814"/>
      <c r="S1" s="814"/>
      <c r="T1" s="814"/>
      <c r="U1" s="814"/>
      <c r="V1" s="814"/>
      <c r="W1" s="814"/>
      <c r="X1" s="814"/>
      <c r="Y1" s="814"/>
      <c r="Z1" s="814"/>
      <c r="AA1" s="814"/>
    </row>
    <row r="2" spans="1:27">
      <c r="A2" s="814"/>
      <c r="B2" s="814"/>
      <c r="C2" s="814"/>
      <c r="D2" s="814"/>
      <c r="E2" s="814"/>
      <c r="F2" s="814"/>
      <c r="I2" s="814"/>
      <c r="J2" s="814"/>
      <c r="K2" s="814"/>
      <c r="L2" s="814"/>
      <c r="M2" s="814"/>
      <c r="N2" s="814"/>
      <c r="O2" s="814"/>
      <c r="Q2" s="814"/>
      <c r="R2" s="814"/>
      <c r="S2" s="814"/>
      <c r="T2" s="814"/>
      <c r="U2" s="814"/>
      <c r="V2" s="814"/>
      <c r="W2" s="814"/>
      <c r="X2" s="814"/>
      <c r="Y2" s="814"/>
      <c r="Z2" s="814"/>
      <c r="AA2" s="814"/>
    </row>
    <row r="3" spans="1:27" ht="15" customHeight="1">
      <c r="A3" s="12" t="s">
        <v>113</v>
      </c>
      <c r="B3" s="4" t="s">
        <v>351</v>
      </c>
      <c r="D3" s="105"/>
      <c r="E3" s="105"/>
      <c r="F3" s="105"/>
      <c r="I3" s="12" t="s">
        <v>113</v>
      </c>
      <c r="J3" s="4" t="s">
        <v>351</v>
      </c>
      <c r="L3" s="105"/>
      <c r="M3" s="22" t="b">
        <v>1</v>
      </c>
      <c r="O3" s="22" t="b">
        <v>1</v>
      </c>
    </row>
    <row r="4" spans="1:27" ht="12" customHeight="1">
      <c r="A4" s="12"/>
      <c r="D4" s="105"/>
      <c r="E4" s="105"/>
      <c r="F4" s="105"/>
      <c r="I4" s="12"/>
      <c r="L4" s="105"/>
      <c r="M4" s="22" t="b">
        <v>0</v>
      </c>
      <c r="N4" s="40"/>
      <c r="O4" s="22" t="b">
        <v>0</v>
      </c>
    </row>
    <row r="5" spans="1:27" ht="15" customHeight="1">
      <c r="A5" s="694"/>
      <c r="B5" s="704" t="s">
        <v>2357</v>
      </c>
      <c r="C5" s="704"/>
      <c r="D5" s="105"/>
      <c r="E5" s="105"/>
      <c r="F5" s="105"/>
      <c r="I5" s="694"/>
      <c r="J5" s="704"/>
      <c r="K5" s="704"/>
      <c r="L5" s="105"/>
      <c r="M5" s="704"/>
      <c r="N5" s="40"/>
      <c r="O5" s="293" t="s">
        <v>312</v>
      </c>
      <c r="Q5" s="704"/>
      <c r="R5" s="704"/>
      <c r="S5" s="704"/>
      <c r="T5" s="704"/>
      <c r="U5" s="704"/>
      <c r="V5" s="704"/>
      <c r="W5" s="704"/>
      <c r="X5" s="704"/>
      <c r="Y5" s="704"/>
      <c r="Z5" s="704"/>
      <c r="AA5" s="704"/>
    </row>
    <row r="6" spans="1:27" ht="6" customHeight="1" thickBot="1">
      <c r="A6" s="694"/>
      <c r="B6" s="704"/>
      <c r="C6" s="704"/>
      <c r="D6" s="105"/>
      <c r="E6" s="105"/>
      <c r="F6" s="105"/>
      <c r="I6" s="694"/>
      <c r="J6" s="704"/>
      <c r="K6" s="704"/>
      <c r="L6" s="105"/>
      <c r="M6" s="105"/>
      <c r="N6" s="105"/>
      <c r="O6" s="105"/>
      <c r="Q6" s="704"/>
      <c r="R6" s="704"/>
      <c r="S6" s="704"/>
      <c r="T6" s="704"/>
      <c r="U6" s="704"/>
      <c r="V6" s="704"/>
      <c r="W6" s="704"/>
      <c r="X6" s="704"/>
      <c r="Y6" s="704"/>
      <c r="Z6" s="704"/>
      <c r="AA6" s="704"/>
    </row>
    <row r="7" spans="1:27" ht="15" customHeight="1" thickTop="1" thickBot="1">
      <c r="A7" s="694"/>
      <c r="B7" s="705" t="s">
        <v>1677</v>
      </c>
      <c r="C7" s="704"/>
      <c r="D7" s="311">
        <f>IF(ISERROR(+D35/D34),0,+D35/D34)</f>
        <v>0</v>
      </c>
      <c r="E7" s="105"/>
      <c r="F7" s="105"/>
      <c r="I7" s="694"/>
      <c r="J7" s="704"/>
      <c r="K7" s="704"/>
      <c r="L7" s="105"/>
      <c r="M7" s="105"/>
      <c r="N7" s="105"/>
      <c r="O7" s="105"/>
      <c r="Q7" s="704"/>
      <c r="R7" s="704"/>
      <c r="S7" s="704"/>
      <c r="T7" s="704"/>
      <c r="U7" s="704"/>
      <c r="V7" s="704"/>
      <c r="W7" s="704"/>
      <c r="X7" s="704"/>
      <c r="Y7" s="704"/>
      <c r="Z7" s="704"/>
      <c r="AA7" s="704"/>
    </row>
    <row r="8" spans="1:27" ht="6" customHeight="1" thickTop="1">
      <c r="A8" s="694"/>
      <c r="B8" s="705"/>
      <c r="C8" s="704"/>
      <c r="D8" s="105"/>
      <c r="E8" s="105"/>
      <c r="F8" s="105"/>
      <c r="I8" s="694"/>
      <c r="J8" s="704"/>
      <c r="K8" s="704"/>
      <c r="L8" s="105"/>
      <c r="M8" s="105"/>
      <c r="N8" s="105"/>
      <c r="O8" s="105"/>
      <c r="Q8" s="704"/>
      <c r="R8" s="704"/>
      <c r="S8" s="704"/>
      <c r="T8" s="704"/>
      <c r="U8" s="704"/>
      <c r="V8" s="704"/>
      <c r="W8" s="704"/>
      <c r="X8" s="704"/>
      <c r="Y8" s="704"/>
      <c r="Z8" s="704"/>
      <c r="AA8" s="704"/>
    </row>
    <row r="9" spans="1:27" ht="26.1" customHeight="1">
      <c r="A9" s="694"/>
      <c r="B9" s="1737" t="s">
        <v>2890</v>
      </c>
      <c r="C9" s="1737"/>
      <c r="D9" s="1737"/>
      <c r="E9" s="1737"/>
      <c r="F9" s="1737"/>
      <c r="I9" s="694"/>
      <c r="J9" s="704"/>
      <c r="K9" s="704"/>
      <c r="L9" s="105"/>
      <c r="M9" s="105"/>
      <c r="N9" s="105"/>
      <c r="O9" s="105"/>
      <c r="Q9" s="704"/>
      <c r="R9" s="704"/>
      <c r="S9" s="704"/>
      <c r="T9" s="704"/>
      <c r="U9" s="704"/>
      <c r="V9" s="704"/>
      <c r="W9" s="704"/>
      <c r="X9" s="704"/>
      <c r="Y9" s="704"/>
      <c r="Z9" s="704"/>
      <c r="AA9" s="704"/>
    </row>
    <row r="10" spans="1:27" ht="6" customHeight="1" thickBot="1">
      <c r="A10" s="694"/>
      <c r="B10" s="705"/>
      <c r="C10" s="704"/>
      <c r="D10" s="105"/>
      <c r="E10" s="105"/>
      <c r="F10" s="105"/>
      <c r="I10" s="694"/>
      <c r="J10" s="704"/>
      <c r="K10" s="704"/>
      <c r="L10" s="105"/>
      <c r="M10" s="105"/>
      <c r="N10" s="105"/>
      <c r="O10" s="105"/>
      <c r="Q10" s="704"/>
      <c r="R10" s="704"/>
      <c r="S10" s="704"/>
      <c r="T10" s="704"/>
      <c r="U10" s="704"/>
      <c r="V10" s="704"/>
      <c r="W10" s="704"/>
      <c r="X10" s="704"/>
      <c r="Y10" s="704"/>
      <c r="Z10" s="704"/>
      <c r="AA10" s="704"/>
    </row>
    <row r="11" spans="1:27" ht="15" customHeight="1" thickTop="1" thickBot="1">
      <c r="A11" s="694"/>
      <c r="B11" s="1741" t="s">
        <v>923</v>
      </c>
      <c r="C11" s="1741"/>
      <c r="D11" s="1741"/>
      <c r="E11" s="696"/>
      <c r="F11" s="204"/>
      <c r="G11" s="696"/>
      <c r="I11" s="694"/>
      <c r="J11" s="704"/>
      <c r="K11" s="704"/>
      <c r="L11" s="105"/>
      <c r="M11" s="20" t="str">
        <f>IF('FORM 1040-5'!F11="","",('FORM 1040-5'!F11))</f>
        <v/>
      </c>
      <c r="N11" s="4" t="s">
        <v>986</v>
      </c>
      <c r="O11" s="105"/>
      <c r="Q11" s="704"/>
      <c r="R11" s="704"/>
      <c r="S11" s="704"/>
      <c r="T11" s="704"/>
      <c r="U11" s="704"/>
      <c r="V11" s="704"/>
      <c r="W11" s="704"/>
      <c r="X11" s="704"/>
      <c r="Y11" s="704"/>
      <c r="Z11" s="704"/>
      <c r="AA11" s="704"/>
    </row>
    <row r="12" spans="1:27" ht="6" customHeight="1" thickTop="1" thickBot="1">
      <c r="A12" s="694"/>
      <c r="B12" s="705"/>
      <c r="C12" s="704"/>
      <c r="D12" s="704"/>
      <c r="E12" s="704"/>
      <c r="F12" s="704"/>
      <c r="G12" s="704"/>
      <c r="I12" s="694"/>
      <c r="J12" s="704"/>
      <c r="K12" s="704"/>
      <c r="L12" s="105"/>
      <c r="O12" s="105"/>
      <c r="Q12" s="704"/>
      <c r="R12" s="704"/>
      <c r="S12" s="704"/>
      <c r="T12" s="704"/>
      <c r="U12" s="704"/>
      <c r="V12" s="704"/>
      <c r="W12" s="704"/>
      <c r="X12" s="704"/>
      <c r="Y12" s="704"/>
      <c r="Z12" s="704"/>
      <c r="AA12" s="704"/>
    </row>
    <row r="13" spans="1:27" ht="15" customHeight="1" thickTop="1" thickBot="1">
      <c r="A13" s="694"/>
      <c r="B13" s="1741" t="s">
        <v>924</v>
      </c>
      <c r="C13" s="1741"/>
      <c r="D13" s="1741"/>
      <c r="E13" s="696"/>
      <c r="F13" s="204"/>
      <c r="G13" s="696"/>
      <c r="I13" s="694"/>
      <c r="J13" s="704"/>
      <c r="K13" s="704"/>
      <c r="L13" s="105"/>
      <c r="M13" s="20" t="str">
        <f>IF('FORM 1040-5'!F13="","",('FORM 1040-5'!F13))</f>
        <v/>
      </c>
      <c r="N13" s="4" t="s">
        <v>987</v>
      </c>
      <c r="O13" s="105"/>
      <c r="Q13" s="704"/>
      <c r="R13" s="704"/>
      <c r="S13" s="704"/>
      <c r="T13" s="704"/>
      <c r="U13" s="704"/>
      <c r="V13" s="704"/>
      <c r="W13" s="704"/>
      <c r="X13" s="704"/>
      <c r="Y13" s="704"/>
      <c r="Z13" s="704"/>
      <c r="AA13" s="704"/>
    </row>
    <row r="14" spans="1:27" ht="6" customHeight="1" thickTop="1" thickBot="1">
      <c r="A14" s="694"/>
      <c r="B14" s="705"/>
      <c r="C14" s="704"/>
      <c r="D14" s="704"/>
      <c r="E14" s="704"/>
      <c r="F14" s="704"/>
      <c r="G14" s="704"/>
      <c r="I14" s="694"/>
      <c r="J14" s="704"/>
      <c r="K14" s="704"/>
      <c r="L14" s="105"/>
      <c r="M14" s="105"/>
      <c r="N14" s="105"/>
      <c r="O14" s="105"/>
      <c r="Q14" s="704"/>
      <c r="R14" s="704"/>
      <c r="S14" s="704"/>
      <c r="T14" s="704"/>
      <c r="U14" s="704"/>
      <c r="V14" s="704"/>
      <c r="W14" s="704"/>
      <c r="X14" s="704"/>
      <c r="Y14" s="704"/>
      <c r="Z14" s="704"/>
      <c r="AA14" s="704"/>
    </row>
    <row r="15" spans="1:27" ht="26.1" customHeight="1" thickTop="1" thickBot="1">
      <c r="A15" s="694"/>
      <c r="B15" s="1742" t="s">
        <v>1678</v>
      </c>
      <c r="C15" s="1742"/>
      <c r="D15" s="1742"/>
      <c r="E15" s="706"/>
      <c r="F15" s="204"/>
      <c r="G15" s="706"/>
      <c r="I15" s="694"/>
      <c r="J15" s="704"/>
      <c r="K15" s="704"/>
      <c r="L15" s="105"/>
      <c r="M15" s="105"/>
      <c r="N15" s="105"/>
      <c r="O15" s="105"/>
      <c r="Q15" s="704"/>
      <c r="R15" s="704"/>
      <c r="S15" s="704"/>
      <c r="T15" s="704"/>
      <c r="U15" s="704"/>
      <c r="V15" s="704"/>
      <c r="W15" s="704"/>
      <c r="X15" s="704"/>
      <c r="Y15" s="704"/>
      <c r="Z15" s="704"/>
      <c r="AA15" s="704"/>
    </row>
    <row r="16" spans="1:27" ht="6" customHeight="1" thickTop="1">
      <c r="A16" s="694"/>
      <c r="B16" s="704"/>
      <c r="C16" s="704"/>
      <c r="D16" s="105"/>
      <c r="E16" s="105"/>
      <c r="F16" s="105"/>
      <c r="I16" s="694"/>
      <c r="J16" s="704"/>
      <c r="K16" s="704"/>
      <c r="L16" s="105"/>
      <c r="M16" s="105"/>
      <c r="N16" s="105"/>
      <c r="O16" s="105"/>
      <c r="Q16" s="704"/>
      <c r="R16" s="704"/>
      <c r="S16" s="704"/>
      <c r="T16" s="704"/>
      <c r="U16" s="704"/>
      <c r="V16" s="704"/>
      <c r="W16" s="704"/>
      <c r="X16" s="704"/>
      <c r="Y16" s="704"/>
      <c r="Z16" s="704"/>
      <c r="AA16" s="704"/>
    </row>
    <row r="17" spans="1:32" ht="15" customHeight="1">
      <c r="A17" s="12"/>
      <c r="B17" s="4" t="s">
        <v>396</v>
      </c>
      <c r="D17" s="105"/>
      <c r="E17" s="105"/>
      <c r="F17" s="105"/>
      <c r="I17" s="12"/>
      <c r="J17" s="4" t="s">
        <v>396</v>
      </c>
      <c r="L17" s="105"/>
      <c r="M17" s="105"/>
      <c r="N17" s="105"/>
      <c r="O17" s="105"/>
    </row>
    <row r="18" spans="1:32" ht="6" customHeight="1" thickBot="1">
      <c r="L18" s="105"/>
    </row>
    <row r="19" spans="1:32" ht="14.1" customHeight="1" thickTop="1">
      <c r="B19" s="127"/>
      <c r="C19" s="108"/>
      <c r="D19" s="109" t="str">
        <f>"(A)"</f>
        <v>(A)</v>
      </c>
      <c r="E19" s="12"/>
      <c r="F19" s="46" t="s">
        <v>397</v>
      </c>
      <c r="J19" s="127"/>
      <c r="K19" s="108"/>
      <c r="L19" s="105"/>
      <c r="M19" s="109" t="str">
        <f>"(A)"</f>
        <v>(A)</v>
      </c>
      <c r="N19" s="12"/>
      <c r="O19" s="46" t="s">
        <v>397</v>
      </c>
    </row>
    <row r="20" spans="1:32" ht="14.1" customHeight="1">
      <c r="B20" s="130"/>
      <c r="C20" s="108"/>
      <c r="D20" s="110" t="s">
        <v>354</v>
      </c>
      <c r="F20" s="130"/>
      <c r="J20" s="130"/>
      <c r="K20" s="108"/>
      <c r="L20" s="105"/>
      <c r="M20" s="110" t="s">
        <v>354</v>
      </c>
      <c r="O20" s="130"/>
    </row>
    <row r="21" spans="1:32" ht="14.1" customHeight="1">
      <c r="B21" s="130"/>
      <c r="C21" s="108"/>
      <c r="D21" s="110" t="s">
        <v>355</v>
      </c>
      <c r="F21" s="130"/>
      <c r="J21" s="130"/>
      <c r="K21" s="108"/>
      <c r="L21" s="105"/>
      <c r="M21" s="110" t="s">
        <v>355</v>
      </c>
      <c r="O21" s="130"/>
    </row>
    <row r="22" spans="1:32" ht="14.1" customHeight="1" thickBot="1">
      <c r="B22" s="1098" t="s">
        <v>98</v>
      </c>
      <c r="C22" s="108"/>
      <c r="D22" s="51" t="s">
        <v>358</v>
      </c>
      <c r="E22" s="26"/>
      <c r="F22" s="51" t="s">
        <v>359</v>
      </c>
      <c r="J22" s="175" t="s">
        <v>98</v>
      </c>
      <c r="K22" s="108"/>
      <c r="L22" s="105"/>
      <c r="M22" s="51" t="s">
        <v>358</v>
      </c>
      <c r="N22" s="26"/>
      <c r="O22" s="51" t="s">
        <v>359</v>
      </c>
    </row>
    <row r="23" spans="1:32" ht="6" customHeight="1" thickTop="1">
      <c r="L23" s="105"/>
    </row>
    <row r="24" spans="1:32" ht="15" customHeight="1" thickBot="1">
      <c r="A24" s="132">
        <v>1</v>
      </c>
      <c r="B24" s="10" t="s">
        <v>1474</v>
      </c>
      <c r="D24" s="176">
        <f>+'FORM 1040-3'!F42</f>
        <v>0</v>
      </c>
      <c r="F24" s="176">
        <f>+'FORM 1040-3'!H42</f>
        <v>0</v>
      </c>
      <c r="I24" s="132">
        <v>32</v>
      </c>
      <c r="J24" s="10" t="s">
        <v>1465</v>
      </c>
      <c r="M24" s="176"/>
      <c r="O24" s="176"/>
      <c r="AB24" s="4"/>
      <c r="AC24" s="4"/>
      <c r="AD24" s="4"/>
      <c r="AE24" s="4"/>
      <c r="AF24" s="4"/>
    </row>
    <row r="25" spans="1:32" ht="6" customHeight="1" thickTop="1">
      <c r="A25" s="132"/>
      <c r="B25" s="8"/>
      <c r="D25" s="160"/>
      <c r="E25" s="39"/>
      <c r="F25" s="160"/>
      <c r="I25" s="132"/>
      <c r="J25" s="8"/>
      <c r="M25" s="160"/>
      <c r="N25" s="39"/>
      <c r="O25" s="160"/>
      <c r="AB25" s="4"/>
      <c r="AC25" s="4"/>
      <c r="AD25" s="4"/>
      <c r="AE25" s="4"/>
      <c r="AF25" s="4"/>
    </row>
    <row r="26" spans="1:32" ht="12.95" customHeight="1">
      <c r="A26" s="126"/>
      <c r="B26" s="4" t="s">
        <v>2075</v>
      </c>
      <c r="D26" s="1738" t="s">
        <v>2076</v>
      </c>
      <c r="E26" s="1738"/>
      <c r="F26" s="1738"/>
      <c r="I26" s="126"/>
      <c r="J26" s="689" t="s">
        <v>1660</v>
      </c>
      <c r="AB26" s="4"/>
      <c r="AC26" s="4"/>
      <c r="AD26" s="4"/>
      <c r="AE26" s="4"/>
      <c r="AF26" s="4"/>
    </row>
    <row r="27" spans="1:32" ht="6" customHeight="1"/>
    <row r="28" spans="1:32" ht="39" customHeight="1" thickBot="1">
      <c r="A28" s="177">
        <v>2</v>
      </c>
      <c r="B28" s="178" t="s">
        <v>2316</v>
      </c>
      <c r="C28" s="37"/>
      <c r="D28" s="179"/>
      <c r="E28" s="107"/>
      <c r="F28" s="179"/>
      <c r="I28" s="177">
        <v>33</v>
      </c>
      <c r="J28" s="178" t="s">
        <v>581</v>
      </c>
      <c r="K28" s="37"/>
      <c r="L28" s="37"/>
      <c r="M28" s="180" t="str">
        <f>IF(D28="","",(D28))</f>
        <v/>
      </c>
      <c r="N28" s="107"/>
      <c r="O28" s="180" t="str">
        <f>IF(F28="","",(F28))</f>
        <v/>
      </c>
      <c r="AB28" s="4"/>
      <c r="AC28" s="4"/>
      <c r="AD28" s="4"/>
      <c r="AE28" s="4"/>
      <c r="AF28" s="4"/>
    </row>
    <row r="29" spans="1:32" ht="18" customHeight="1" thickTop="1" thickBot="1">
      <c r="A29" s="132">
        <v>3</v>
      </c>
      <c r="B29" s="181" t="s">
        <v>398</v>
      </c>
      <c r="C29" s="24"/>
      <c r="D29" s="179"/>
      <c r="E29" s="107"/>
      <c r="F29" s="179"/>
      <c r="I29" s="132">
        <v>34</v>
      </c>
      <c r="J29" s="181" t="s">
        <v>398</v>
      </c>
      <c r="K29" s="24"/>
      <c r="L29" s="24"/>
      <c r="M29" s="182"/>
      <c r="N29" s="107"/>
      <c r="O29" s="182"/>
      <c r="Q29" s="105"/>
      <c r="R29" s="40"/>
      <c r="S29" s="40"/>
      <c r="T29" s="40"/>
      <c r="U29" s="40"/>
      <c r="AB29" s="4"/>
      <c r="AC29" s="4"/>
      <c r="AD29" s="4"/>
      <c r="AE29" s="4"/>
      <c r="AF29" s="4"/>
    </row>
    <row r="30" spans="1:32" ht="18" customHeight="1" thickTop="1" thickBot="1">
      <c r="A30" s="132">
        <v>4</v>
      </c>
      <c r="B30" s="181" t="s">
        <v>399</v>
      </c>
      <c r="C30" s="24"/>
      <c r="D30" s="179"/>
      <c r="E30" s="107"/>
      <c r="F30" s="179"/>
      <c r="I30" s="132">
        <v>35</v>
      </c>
      <c r="J30" s="181" t="s">
        <v>399</v>
      </c>
      <c r="K30" s="24"/>
      <c r="L30" s="24"/>
      <c r="M30" s="180" t="str">
        <f>IF(D30="","",(D30))</f>
        <v/>
      </c>
      <c r="N30" s="107"/>
      <c r="O30" s="180" t="str">
        <f>IF(F30="","",(F30))</f>
        <v/>
      </c>
      <c r="Q30" s="105"/>
      <c r="R30" s="40"/>
      <c r="S30" s="40"/>
      <c r="T30" s="40"/>
      <c r="U30" s="40"/>
      <c r="AB30" s="4"/>
      <c r="AC30" s="4"/>
      <c r="AD30" s="4"/>
      <c r="AE30" s="4"/>
      <c r="AF30" s="4"/>
    </row>
    <row r="31" spans="1:32" ht="18" customHeight="1" thickTop="1" thickBot="1">
      <c r="A31" s="132">
        <v>5</v>
      </c>
      <c r="B31" s="181" t="s">
        <v>400</v>
      </c>
      <c r="C31" s="24"/>
      <c r="D31" s="179"/>
      <c r="E31" s="107"/>
      <c r="F31" s="179"/>
      <c r="I31" s="132">
        <v>36</v>
      </c>
      <c r="J31" s="181" t="s">
        <v>400</v>
      </c>
      <c r="K31" s="24"/>
      <c r="L31" s="24"/>
      <c r="M31" s="180" t="str">
        <f>IF(D31="","",(D31))</f>
        <v/>
      </c>
      <c r="N31" s="107"/>
      <c r="O31" s="180" t="str">
        <f>IF(F31="","",(F31))</f>
        <v/>
      </c>
      <c r="Q31" s="105"/>
      <c r="R31" s="40"/>
      <c r="S31" s="40"/>
      <c r="T31" s="40"/>
      <c r="U31" s="40"/>
      <c r="AB31" s="4"/>
      <c r="AC31" s="4"/>
      <c r="AD31" s="4"/>
      <c r="AE31" s="4"/>
      <c r="AF31" s="4"/>
    </row>
    <row r="32" spans="1:32" ht="18" customHeight="1" thickTop="1" thickBot="1">
      <c r="A32" s="132">
        <v>6</v>
      </c>
      <c r="B32" s="181" t="s">
        <v>401</v>
      </c>
      <c r="C32" s="24"/>
      <c r="D32" s="179"/>
      <c r="E32" s="107"/>
      <c r="F32" s="179"/>
      <c r="I32" s="132">
        <v>37</v>
      </c>
      <c r="J32" s="181" t="s">
        <v>401</v>
      </c>
      <c r="K32" s="24"/>
      <c r="L32" s="24"/>
      <c r="M32" s="180" t="str">
        <f>IF(D32="","",(D32))</f>
        <v/>
      </c>
      <c r="N32" s="107"/>
      <c r="O32" s="180" t="str">
        <f>IF(F32="","",(F32))</f>
        <v/>
      </c>
      <c r="Q32" s="105"/>
      <c r="R32" s="40"/>
      <c r="S32" s="40"/>
      <c r="T32" s="40"/>
      <c r="U32" s="40"/>
      <c r="AB32" s="4"/>
      <c r="AC32" s="4"/>
      <c r="AD32" s="4"/>
      <c r="AE32" s="4"/>
      <c r="AF32" s="4"/>
    </row>
    <row r="33" spans="1:32" ht="18" customHeight="1" thickTop="1" thickBot="1">
      <c r="A33" s="132">
        <v>7</v>
      </c>
      <c r="B33" s="10" t="s">
        <v>2317</v>
      </c>
      <c r="C33" s="8"/>
      <c r="D33" s="183">
        <f>SUM(D28:D32)</f>
        <v>0</v>
      </c>
      <c r="E33" s="107"/>
      <c r="F33" s="183">
        <f>SUM(F28:F32)</f>
        <v>0</v>
      </c>
      <c r="I33" s="132">
        <v>38</v>
      </c>
      <c r="J33" s="10" t="s">
        <v>582</v>
      </c>
      <c r="K33" s="8"/>
      <c r="L33" s="8"/>
      <c r="M33" s="183"/>
      <c r="N33" s="107"/>
      <c r="O33" s="183"/>
      <c r="Q33" s="105"/>
      <c r="R33" s="40"/>
      <c r="S33" s="40"/>
      <c r="T33" s="40"/>
      <c r="U33" s="40"/>
      <c r="AB33" s="4"/>
      <c r="AC33" s="4"/>
      <c r="AD33" s="4"/>
      <c r="AE33" s="4"/>
      <c r="AF33" s="4"/>
    </row>
    <row r="34" spans="1:32" s="708" customFormat="1" ht="18" customHeight="1" thickTop="1" thickBot="1">
      <c r="A34" s="524">
        <v>8</v>
      </c>
      <c r="B34" s="178" t="s">
        <v>2448</v>
      </c>
      <c r="C34" s="697"/>
      <c r="D34" s="721">
        <f>+D24-D33</f>
        <v>0</v>
      </c>
      <c r="E34" s="341"/>
      <c r="F34" s="721">
        <f>+F24-F33</f>
        <v>0</v>
      </c>
      <c r="H34" s="490"/>
      <c r="I34" s="524">
        <v>39</v>
      </c>
      <c r="J34" s="178" t="s">
        <v>583</v>
      </c>
      <c r="K34" s="697"/>
      <c r="L34" s="697"/>
      <c r="M34" s="721"/>
      <c r="N34" s="341"/>
      <c r="O34" s="721"/>
      <c r="P34" s="490"/>
      <c r="Q34" s="722"/>
      <c r="V34" s="696"/>
      <c r="W34" s="696"/>
      <c r="X34" s="696"/>
      <c r="Y34" s="696"/>
      <c r="Z34" s="696"/>
      <c r="AA34" s="696"/>
      <c r="AB34" s="696"/>
      <c r="AC34" s="696"/>
      <c r="AD34" s="696"/>
      <c r="AE34" s="696"/>
      <c r="AF34" s="696"/>
    </row>
    <row r="35" spans="1:32" ht="18" customHeight="1" thickTop="1" thickBot="1">
      <c r="A35" s="132">
        <v>9</v>
      </c>
      <c r="B35" s="10" t="s">
        <v>2319</v>
      </c>
      <c r="C35" s="8"/>
      <c r="D35" s="179"/>
      <c r="E35" s="107"/>
      <c r="F35" s="184" t="s">
        <v>2725</v>
      </c>
      <c r="I35" s="132">
        <v>40</v>
      </c>
      <c r="J35" s="10" t="s">
        <v>589</v>
      </c>
      <c r="K35" s="8"/>
      <c r="L35" s="8"/>
      <c r="M35" s="180" t="str">
        <f>IF(D35="","",(D35))</f>
        <v/>
      </c>
      <c r="N35" s="107"/>
      <c r="O35" s="184" t="s">
        <v>153</v>
      </c>
      <c r="Q35" s="107"/>
      <c r="R35" s="40"/>
      <c r="S35" s="40"/>
      <c r="T35" s="40"/>
      <c r="U35" s="40"/>
      <c r="AB35" s="4"/>
      <c r="AC35" s="4"/>
      <c r="AD35" s="4"/>
      <c r="AE35" s="4"/>
      <c r="AF35" s="4"/>
    </row>
    <row r="36" spans="1:32" s="708" customFormat="1" ht="18" customHeight="1" thickTop="1" thickBot="1">
      <c r="A36" s="524">
        <v>10</v>
      </c>
      <c r="B36" s="178" t="s">
        <v>2320</v>
      </c>
      <c r="C36" s="697"/>
      <c r="D36" s="721">
        <f>D34+D35</f>
        <v>0</v>
      </c>
      <c r="E36" s="341"/>
      <c r="F36" s="721">
        <f>F34</f>
        <v>0</v>
      </c>
      <c r="H36" s="490"/>
      <c r="I36" s="524">
        <v>41</v>
      </c>
      <c r="J36" s="178" t="s">
        <v>584</v>
      </c>
      <c r="K36" s="697"/>
      <c r="L36" s="697"/>
      <c r="M36" s="721"/>
      <c r="N36" s="341"/>
      <c r="O36" s="721"/>
      <c r="P36" s="490"/>
      <c r="Q36" s="722"/>
      <c r="V36" s="696"/>
      <c r="W36" s="696"/>
      <c r="X36" s="696"/>
      <c r="Y36" s="696"/>
      <c r="Z36" s="696"/>
      <c r="AA36" s="696"/>
      <c r="AB36" s="696"/>
      <c r="AC36" s="696"/>
      <c r="AD36" s="696"/>
      <c r="AE36" s="696"/>
      <c r="AF36" s="696"/>
    </row>
    <row r="37" spans="1:32" ht="18" customHeight="1" thickTop="1" thickBot="1">
      <c r="A37" s="132">
        <v>11</v>
      </c>
      <c r="B37" s="10" t="s">
        <v>402</v>
      </c>
      <c r="C37" s="8"/>
      <c r="D37" s="185"/>
      <c r="E37" s="174"/>
      <c r="F37" s="185"/>
      <c r="I37" s="132">
        <v>42</v>
      </c>
      <c r="J37" s="10" t="s">
        <v>402</v>
      </c>
      <c r="K37" s="8"/>
      <c r="L37" s="8"/>
      <c r="M37" s="186"/>
      <c r="N37" s="174"/>
      <c r="O37" s="186"/>
      <c r="Q37" s="105"/>
      <c r="R37" s="40"/>
      <c r="S37" s="40"/>
      <c r="T37" s="40"/>
      <c r="U37" s="40"/>
      <c r="AB37" s="4"/>
      <c r="AC37" s="4"/>
      <c r="AD37" s="4"/>
      <c r="AE37" s="4"/>
      <c r="AF37" s="4"/>
    </row>
    <row r="38" spans="1:32" ht="6" customHeight="1" thickTop="1">
      <c r="A38" s="132"/>
      <c r="B38" s="8"/>
      <c r="C38" s="8"/>
      <c r="D38" s="174"/>
      <c r="E38" s="174"/>
      <c r="F38" s="174"/>
      <c r="I38" s="132"/>
      <c r="J38" s="8"/>
      <c r="K38" s="8"/>
      <c r="L38" s="8"/>
      <c r="M38" s="174"/>
      <c r="N38" s="174"/>
      <c r="O38" s="174"/>
      <c r="Q38" s="105"/>
      <c r="R38" s="40"/>
      <c r="S38" s="40"/>
      <c r="T38" s="40"/>
      <c r="U38" s="40"/>
      <c r="AB38" s="4"/>
      <c r="AC38" s="4"/>
      <c r="AD38" s="4"/>
      <c r="AE38" s="4"/>
      <c r="AF38" s="4"/>
    </row>
    <row r="39" spans="1:32" ht="18" customHeight="1">
      <c r="A39" s="12" t="s">
        <v>138</v>
      </c>
      <c r="B39" s="8" t="s">
        <v>403</v>
      </c>
      <c r="C39" s="8"/>
      <c r="D39" s="174"/>
      <c r="E39" s="174"/>
      <c r="F39" s="174"/>
      <c r="I39" s="12" t="s">
        <v>138</v>
      </c>
      <c r="J39" s="8" t="s">
        <v>403</v>
      </c>
      <c r="K39" s="8"/>
      <c r="L39" s="8"/>
      <c r="M39" s="174"/>
      <c r="N39" s="174"/>
      <c r="O39" s="174"/>
      <c r="Q39" s="105"/>
      <c r="R39" s="40"/>
      <c r="S39" s="40"/>
      <c r="T39" s="40"/>
      <c r="U39" s="40"/>
      <c r="AB39" s="4"/>
      <c r="AC39" s="4"/>
      <c r="AD39" s="4"/>
      <c r="AE39" s="4"/>
      <c r="AF39" s="4"/>
    </row>
    <row r="40" spans="1:32" ht="6" customHeight="1">
      <c r="L40" s="105"/>
    </row>
    <row r="41" spans="1:32" ht="18" customHeight="1" thickBot="1">
      <c r="A41" s="85" t="str">
        <f>"1."</f>
        <v>1.</v>
      </c>
      <c r="B41" s="10" t="s">
        <v>2321</v>
      </c>
      <c r="C41" s="8"/>
      <c r="D41" s="176">
        <f>D36</f>
        <v>0</v>
      </c>
      <c r="E41" s="107"/>
      <c r="F41" s="176">
        <f>F36</f>
        <v>0</v>
      </c>
      <c r="I41" s="85" t="str">
        <f>"1."</f>
        <v>1.</v>
      </c>
      <c r="J41" s="10" t="s">
        <v>1466</v>
      </c>
      <c r="K41" s="8"/>
      <c r="L41" s="105"/>
      <c r="M41" s="176"/>
      <c r="N41" s="107"/>
      <c r="O41" s="176"/>
    </row>
    <row r="42" spans="1:32" ht="18" customHeight="1" thickTop="1" thickBot="1">
      <c r="A42" s="85" t="str">
        <f>"2."</f>
        <v>2.</v>
      </c>
      <c r="B42" s="10" t="s">
        <v>1467</v>
      </c>
      <c r="C42" s="8"/>
      <c r="D42" s="96">
        <f>+'FORM 1040-2'!F61</f>
        <v>0</v>
      </c>
      <c r="E42" s="187"/>
      <c r="F42" s="96">
        <f>+'FORM 1040-2'!F61</f>
        <v>0</v>
      </c>
      <c r="I42" s="85" t="str">
        <f>"2."</f>
        <v>2.</v>
      </c>
      <c r="J42" s="10" t="s">
        <v>1467</v>
      </c>
      <c r="K42" s="8"/>
      <c r="L42" s="105"/>
      <c r="M42" s="97">
        <f>IF(D42="","",(D42))</f>
        <v>0</v>
      </c>
      <c r="N42" s="187"/>
      <c r="O42" s="97">
        <f>IF(F42="","",(F42))</f>
        <v>0</v>
      </c>
    </row>
    <row r="43" spans="1:32" ht="18" customHeight="1" thickTop="1" thickBot="1">
      <c r="A43" s="85" t="str">
        <f>"3."</f>
        <v>3.</v>
      </c>
      <c r="B43" s="10" t="s">
        <v>404</v>
      </c>
      <c r="C43" s="8"/>
      <c r="D43" s="183">
        <f>D41*D42</f>
        <v>0</v>
      </c>
      <c r="E43" s="107"/>
      <c r="F43" s="183">
        <f>F41*F42</f>
        <v>0</v>
      </c>
      <c r="I43" s="85" t="str">
        <f>"3."</f>
        <v>3.</v>
      </c>
      <c r="J43" s="10" t="s">
        <v>404</v>
      </c>
      <c r="K43" s="8"/>
      <c r="L43" s="105"/>
      <c r="M43" s="183"/>
      <c r="N43" s="107"/>
      <c r="O43" s="183"/>
    </row>
    <row r="44" spans="1:32" ht="6" customHeight="1" thickTop="1">
      <c r="A44" s="12"/>
      <c r="B44" s="8"/>
      <c r="C44" s="8"/>
      <c r="D44" s="107"/>
      <c r="E44" s="107"/>
      <c r="F44" s="107"/>
      <c r="I44" s="12"/>
      <c r="J44" s="8"/>
      <c r="K44" s="8"/>
      <c r="L44" s="105"/>
      <c r="M44" s="107"/>
      <c r="N44" s="107"/>
      <c r="O44" s="107"/>
    </row>
    <row r="45" spans="1:32">
      <c r="A45" s="12" t="s">
        <v>140</v>
      </c>
      <c r="B45" s="4" t="s">
        <v>405</v>
      </c>
      <c r="D45" s="107"/>
      <c r="E45" s="107"/>
      <c r="F45" s="107"/>
      <c r="I45" s="12" t="s">
        <v>140</v>
      </c>
      <c r="J45" s="4" t="s">
        <v>405</v>
      </c>
      <c r="L45" s="105"/>
      <c r="M45" s="107"/>
      <c r="N45" s="107"/>
      <c r="O45" s="107"/>
    </row>
    <row r="46" spans="1:32" ht="6" customHeight="1">
      <c r="D46" s="107"/>
      <c r="E46" s="107"/>
      <c r="F46" s="107"/>
      <c r="L46" s="105"/>
      <c r="M46" s="107"/>
      <c r="N46" s="107"/>
      <c r="O46" s="107"/>
    </row>
    <row r="47" spans="1:32" ht="26.1" customHeight="1">
      <c r="B47" s="1716" t="s">
        <v>2233</v>
      </c>
      <c r="C47" s="1716"/>
      <c r="D47" s="1716"/>
      <c r="E47" s="1716"/>
      <c r="F47" s="1716"/>
      <c r="J47" s="1716" t="s">
        <v>2233</v>
      </c>
      <c r="K47" s="1716"/>
      <c r="L47" s="1716"/>
      <c r="M47" s="1716"/>
      <c r="N47" s="1716"/>
      <c r="O47" s="1716"/>
    </row>
    <row r="48" spans="1:32" ht="6" customHeight="1">
      <c r="D48" s="105"/>
      <c r="E48" s="105"/>
      <c r="F48" s="105"/>
      <c r="L48" s="105"/>
      <c r="M48" s="105"/>
      <c r="N48" s="105"/>
      <c r="O48" s="105"/>
    </row>
    <row r="49" spans="1:27" ht="18" customHeight="1" thickBot="1">
      <c r="A49" s="85" t="str">
        <f>"1."</f>
        <v>1.</v>
      </c>
      <c r="B49" s="10" t="s">
        <v>1468</v>
      </c>
      <c r="C49" s="8"/>
      <c r="D49" s="176">
        <f>D43</f>
        <v>0</v>
      </c>
      <c r="E49" s="107"/>
      <c r="F49" s="176">
        <f>F43</f>
        <v>0</v>
      </c>
      <c r="I49" s="85" t="str">
        <f>"1."</f>
        <v>1.</v>
      </c>
      <c r="J49" s="10" t="s">
        <v>1468</v>
      </c>
      <c r="K49" s="8"/>
      <c r="L49" s="105"/>
      <c r="M49" s="176"/>
      <c r="N49" s="107"/>
      <c r="O49" s="176"/>
    </row>
    <row r="50" spans="1:27" ht="18" customHeight="1" thickTop="1" thickBot="1">
      <c r="A50" s="85" t="str">
        <f>"2."</f>
        <v>2.</v>
      </c>
      <c r="B50" s="10" t="s">
        <v>1679</v>
      </c>
      <c r="C50" s="8"/>
      <c r="D50" s="188"/>
      <c r="E50" s="189"/>
      <c r="F50" s="188"/>
      <c r="I50" s="85" t="str">
        <f>"2."</f>
        <v>2.</v>
      </c>
      <c r="J50" s="10" t="s">
        <v>406</v>
      </c>
      <c r="K50" s="8"/>
      <c r="L50" s="105"/>
      <c r="M50" s="190" t="str">
        <f>IF(D50="","",(D50))</f>
        <v/>
      </c>
      <c r="N50" s="189"/>
      <c r="O50" s="190" t="str">
        <f>IF(F50="","",(F50))</f>
        <v/>
      </c>
    </row>
    <row r="51" spans="1:27" ht="18" customHeight="1" thickTop="1" thickBot="1">
      <c r="A51" s="85" t="str">
        <f>"3."</f>
        <v>3.</v>
      </c>
      <c r="B51" s="10" t="s">
        <v>407</v>
      </c>
      <c r="C51" s="8"/>
      <c r="D51" s="191">
        <f>TRUNC(D49*D50)</f>
        <v>0</v>
      </c>
      <c r="E51" s="111"/>
      <c r="F51" s="191">
        <f>TRUNC(F49*F50)</f>
        <v>0</v>
      </c>
      <c r="I51" s="85" t="str">
        <f>"3."</f>
        <v>3.</v>
      </c>
      <c r="J51" s="10" t="s">
        <v>407</v>
      </c>
      <c r="K51" s="8"/>
      <c r="L51" s="105"/>
      <c r="M51" s="191"/>
      <c r="N51" s="111"/>
      <c r="O51" s="191"/>
    </row>
    <row r="52" spans="1:27" ht="6" customHeight="1" thickTop="1" thickBot="1">
      <c r="A52" s="85"/>
      <c r="B52" s="8"/>
      <c r="C52" s="8"/>
      <c r="D52" s="111"/>
      <c r="E52" s="111"/>
      <c r="F52" s="111"/>
      <c r="I52" s="85"/>
      <c r="J52" s="8"/>
      <c r="K52" s="8"/>
      <c r="L52" s="105"/>
      <c r="M52" s="111"/>
      <c r="N52" s="111"/>
      <c r="O52" s="111"/>
    </row>
    <row r="53" spans="1:27" ht="18" customHeight="1" thickTop="1" thickBot="1">
      <c r="A53" s="1086" t="s">
        <v>101</v>
      </c>
      <c r="B53" s="1739" t="s">
        <v>2232</v>
      </c>
      <c r="C53" s="1739"/>
      <c r="D53" s="1739"/>
      <c r="E53" s="1739"/>
      <c r="F53" s="1740"/>
      <c r="I53" s="698" t="s">
        <v>101</v>
      </c>
      <c r="J53" s="723" t="s">
        <v>2232</v>
      </c>
      <c r="K53" s="192"/>
      <c r="L53" s="192"/>
      <c r="M53" s="192"/>
      <c r="N53" s="192"/>
      <c r="O53" s="193"/>
    </row>
    <row r="54" spans="1:27" ht="13.5" thickTop="1"/>
    <row r="56" spans="1:27">
      <c r="A56" s="40"/>
      <c r="B56" s="40"/>
      <c r="C56" s="40"/>
      <c r="D56" s="40"/>
      <c r="E56" s="40"/>
      <c r="F56" s="40"/>
      <c r="I56" s="40"/>
      <c r="J56" s="40"/>
      <c r="K56" s="40"/>
      <c r="L56" s="40"/>
      <c r="M56" s="40"/>
      <c r="N56" s="40"/>
      <c r="O56" s="40"/>
      <c r="Q56" s="40"/>
      <c r="R56" s="40"/>
      <c r="S56" s="40"/>
      <c r="T56" s="40"/>
      <c r="U56" s="40"/>
      <c r="V56" s="40"/>
      <c r="W56" s="40"/>
      <c r="X56" s="40"/>
      <c r="Y56" s="40"/>
      <c r="Z56" s="40"/>
      <c r="AA56" s="40"/>
    </row>
    <row r="57" spans="1:27">
      <c r="A57" s="40"/>
      <c r="B57" s="40"/>
      <c r="C57" s="40"/>
      <c r="D57" s="40"/>
      <c r="E57" s="40"/>
      <c r="F57" s="40"/>
      <c r="I57" s="40"/>
      <c r="J57" s="40"/>
      <c r="K57" s="40"/>
      <c r="L57" s="40"/>
      <c r="M57" s="40"/>
      <c r="N57" s="40"/>
      <c r="O57" s="40"/>
      <c r="Q57" s="40"/>
      <c r="R57" s="40"/>
      <c r="S57" s="40"/>
      <c r="T57" s="40"/>
      <c r="U57" s="40"/>
      <c r="V57" s="40"/>
      <c r="W57" s="40"/>
      <c r="X57" s="40"/>
      <c r="Y57" s="40"/>
      <c r="Z57" s="40"/>
      <c r="AA57" s="40"/>
    </row>
    <row r="58" spans="1:27">
      <c r="A58" s="40"/>
      <c r="B58" s="40"/>
      <c r="C58" s="40"/>
      <c r="D58" s="40"/>
      <c r="E58" s="40"/>
      <c r="F58" s="40"/>
      <c r="I58" s="40"/>
      <c r="J58" s="40"/>
      <c r="K58" s="40"/>
      <c r="L58" s="40"/>
      <c r="M58" s="40"/>
      <c r="N58" s="40"/>
      <c r="O58" s="40"/>
      <c r="Q58" s="40"/>
      <c r="R58" s="40"/>
      <c r="S58" s="40"/>
      <c r="T58" s="40"/>
      <c r="U58" s="40"/>
      <c r="V58" s="40"/>
      <c r="W58" s="40"/>
      <c r="X58" s="40"/>
      <c r="Y58" s="40"/>
      <c r="Z58" s="40"/>
      <c r="AA58" s="40"/>
    </row>
    <row r="59" spans="1:27">
      <c r="A59" s="40"/>
      <c r="B59" s="40"/>
      <c r="C59" s="40"/>
      <c r="D59" s="40"/>
      <c r="E59" s="40"/>
      <c r="F59" s="40"/>
      <c r="I59" s="40"/>
      <c r="J59" s="40"/>
      <c r="K59" s="40"/>
      <c r="L59" s="40"/>
      <c r="M59" s="40"/>
      <c r="N59" s="40"/>
      <c r="O59" s="40"/>
      <c r="Q59" s="40"/>
      <c r="R59" s="40"/>
      <c r="S59" s="40"/>
      <c r="T59" s="40"/>
      <c r="U59" s="40"/>
      <c r="V59" s="40"/>
      <c r="W59" s="40"/>
      <c r="X59" s="40"/>
      <c r="Y59" s="40"/>
      <c r="Z59" s="40"/>
      <c r="AA59" s="40"/>
    </row>
    <row r="60" spans="1:27">
      <c r="A60" s="40"/>
      <c r="B60" s="40"/>
      <c r="C60" s="40"/>
      <c r="D60" s="40"/>
      <c r="E60" s="40"/>
      <c r="F60" s="40"/>
      <c r="I60" s="40"/>
      <c r="J60" s="40"/>
      <c r="K60" s="40"/>
      <c r="L60" s="40"/>
      <c r="M60" s="40"/>
      <c r="N60" s="40"/>
      <c r="O60" s="40"/>
      <c r="Q60" s="40"/>
      <c r="R60" s="40"/>
      <c r="S60" s="40"/>
      <c r="T60" s="40"/>
      <c r="U60" s="40"/>
      <c r="V60" s="40"/>
      <c r="W60" s="40"/>
      <c r="X60" s="40"/>
      <c r="Y60" s="40"/>
      <c r="Z60" s="40"/>
      <c r="AA60" s="40"/>
    </row>
    <row r="61" spans="1:27">
      <c r="A61" s="40"/>
      <c r="B61" s="40"/>
      <c r="C61" s="40"/>
      <c r="D61" s="40"/>
      <c r="E61" s="40"/>
      <c r="F61" s="40"/>
      <c r="I61" s="40"/>
      <c r="J61" s="40"/>
      <c r="K61" s="40"/>
      <c r="L61" s="40"/>
      <c r="M61" s="40"/>
      <c r="N61" s="40"/>
      <c r="O61" s="40"/>
      <c r="Q61" s="40"/>
      <c r="R61" s="40"/>
      <c r="S61" s="40"/>
      <c r="T61" s="40"/>
      <c r="U61" s="40"/>
      <c r="V61" s="40"/>
      <c r="W61" s="40"/>
      <c r="X61" s="40"/>
      <c r="Y61" s="40"/>
      <c r="Z61" s="40"/>
      <c r="AA61" s="40"/>
    </row>
    <row r="62" spans="1:27">
      <c r="A62" s="40"/>
      <c r="B62" s="40"/>
      <c r="C62" s="40"/>
      <c r="D62" s="40"/>
      <c r="E62" s="40"/>
      <c r="F62" s="40"/>
      <c r="I62" s="40"/>
      <c r="J62" s="40"/>
      <c r="K62" s="40"/>
      <c r="L62" s="40"/>
      <c r="M62" s="40"/>
      <c r="N62" s="40"/>
      <c r="O62" s="40"/>
      <c r="Q62" s="40"/>
      <c r="R62" s="40"/>
      <c r="S62" s="40"/>
      <c r="T62" s="40"/>
      <c r="U62" s="40"/>
      <c r="V62" s="40"/>
      <c r="W62" s="40"/>
      <c r="X62" s="40"/>
      <c r="Y62" s="40"/>
      <c r="Z62" s="40"/>
      <c r="AA62" s="40"/>
    </row>
    <row r="63" spans="1:27">
      <c r="A63" s="40"/>
      <c r="B63" s="40"/>
      <c r="C63" s="40"/>
      <c r="D63" s="40"/>
      <c r="E63" s="40"/>
      <c r="F63" s="40"/>
      <c r="I63" s="40"/>
      <c r="J63" s="40"/>
      <c r="K63" s="40"/>
      <c r="L63" s="40"/>
      <c r="M63" s="40"/>
      <c r="N63" s="40"/>
      <c r="O63" s="40"/>
      <c r="Q63" s="40"/>
      <c r="R63" s="40"/>
      <c r="S63" s="40"/>
      <c r="T63" s="40"/>
      <c r="U63" s="40"/>
      <c r="V63" s="40"/>
      <c r="W63" s="40"/>
      <c r="X63" s="40"/>
      <c r="Y63" s="40"/>
      <c r="Z63" s="40"/>
      <c r="AA63" s="40"/>
    </row>
    <row r="64" spans="1:27">
      <c r="A64" s="40"/>
      <c r="B64" s="40"/>
      <c r="C64" s="40"/>
      <c r="D64" s="40"/>
      <c r="E64" s="40"/>
      <c r="F64" s="40"/>
      <c r="I64" s="40"/>
      <c r="J64" s="40"/>
      <c r="K64" s="40"/>
      <c r="L64" s="40"/>
      <c r="M64" s="40"/>
      <c r="N64" s="40"/>
      <c r="O64" s="40"/>
      <c r="Q64" s="40"/>
      <c r="R64" s="40"/>
      <c r="S64" s="40"/>
      <c r="T64" s="40"/>
      <c r="U64" s="40"/>
      <c r="V64" s="40"/>
      <c r="W64" s="40"/>
      <c r="X64" s="40"/>
      <c r="Y64" s="40"/>
      <c r="Z64" s="40"/>
      <c r="AA64" s="40"/>
    </row>
    <row r="65" spans="1:27">
      <c r="A65" s="40"/>
      <c r="B65" s="40"/>
      <c r="C65" s="40"/>
      <c r="D65" s="40"/>
      <c r="E65" s="40"/>
      <c r="F65" s="40"/>
      <c r="I65" s="40"/>
      <c r="J65" s="40"/>
      <c r="K65" s="40"/>
      <c r="L65" s="40"/>
      <c r="M65" s="40"/>
      <c r="N65" s="40"/>
      <c r="O65" s="40"/>
      <c r="Q65" s="40"/>
      <c r="R65" s="40"/>
      <c r="S65" s="40"/>
      <c r="T65" s="40"/>
      <c r="U65" s="40"/>
      <c r="V65" s="40"/>
      <c r="W65" s="40"/>
      <c r="X65" s="40"/>
      <c r="Y65" s="40"/>
      <c r="Z65" s="40"/>
      <c r="AA65" s="40"/>
    </row>
    <row r="66" spans="1:27">
      <c r="A66" s="40"/>
      <c r="B66" s="40"/>
      <c r="C66" s="40"/>
      <c r="D66" s="40"/>
      <c r="E66" s="40"/>
      <c r="F66" s="40"/>
      <c r="I66" s="40"/>
      <c r="J66" s="40"/>
      <c r="K66" s="40"/>
      <c r="L66" s="40"/>
      <c r="M66" s="40"/>
      <c r="N66" s="40"/>
      <c r="O66" s="40"/>
      <c r="Q66" s="40"/>
      <c r="R66" s="40"/>
      <c r="S66" s="40"/>
      <c r="T66" s="40"/>
      <c r="U66" s="40"/>
      <c r="V66" s="40"/>
      <c r="W66" s="40"/>
      <c r="X66" s="40"/>
      <c r="Y66" s="40"/>
      <c r="Z66" s="40"/>
      <c r="AA66" s="40"/>
    </row>
    <row r="67" spans="1:27">
      <c r="A67" s="40"/>
      <c r="B67" s="40"/>
      <c r="C67" s="40"/>
      <c r="D67" s="40"/>
      <c r="E67" s="40"/>
      <c r="F67" s="40"/>
      <c r="I67" s="40"/>
      <c r="J67" s="40"/>
      <c r="K67" s="40"/>
      <c r="L67" s="40"/>
      <c r="M67" s="40"/>
      <c r="N67" s="40"/>
      <c r="O67" s="40"/>
      <c r="Q67" s="40"/>
      <c r="R67" s="40"/>
      <c r="S67" s="40"/>
      <c r="T67" s="40"/>
      <c r="U67" s="40"/>
      <c r="V67" s="40"/>
      <c r="W67" s="40"/>
      <c r="X67" s="40"/>
      <c r="Y67" s="40"/>
      <c r="Z67" s="40"/>
      <c r="AA67" s="40"/>
    </row>
    <row r="68" spans="1:27">
      <c r="A68" s="40"/>
      <c r="B68" s="40"/>
      <c r="C68" s="40"/>
      <c r="D68" s="40"/>
      <c r="E68" s="40"/>
      <c r="F68" s="40"/>
      <c r="I68" s="40"/>
      <c r="J68" s="40"/>
      <c r="K68" s="40"/>
      <c r="L68" s="40"/>
      <c r="M68" s="40"/>
      <c r="N68" s="40"/>
      <c r="O68" s="40"/>
      <c r="Q68" s="40"/>
      <c r="R68" s="40"/>
      <c r="S68" s="40"/>
      <c r="T68" s="40"/>
      <c r="U68" s="40"/>
      <c r="V68" s="40"/>
      <c r="W68" s="40"/>
      <c r="X68" s="40"/>
      <c r="Y68" s="40"/>
      <c r="Z68" s="40"/>
      <c r="AA68" s="40"/>
    </row>
    <row r="69" spans="1:27">
      <c r="A69" s="40"/>
      <c r="B69" s="40"/>
      <c r="C69" s="40"/>
      <c r="D69" s="40"/>
      <c r="E69" s="40"/>
      <c r="F69" s="40"/>
      <c r="I69" s="40"/>
      <c r="J69" s="40"/>
      <c r="K69" s="40"/>
      <c r="L69" s="40"/>
      <c r="M69" s="40"/>
      <c r="N69" s="40"/>
      <c r="O69" s="40"/>
      <c r="Q69" s="40"/>
      <c r="R69" s="40"/>
      <c r="S69" s="40"/>
      <c r="T69" s="40"/>
      <c r="U69" s="40"/>
      <c r="V69" s="40"/>
      <c r="W69" s="40"/>
      <c r="X69" s="40"/>
      <c r="Y69" s="40"/>
      <c r="Z69" s="40"/>
      <c r="AA69" s="40"/>
    </row>
    <row r="70" spans="1:27">
      <c r="A70" s="40"/>
      <c r="B70" s="40"/>
      <c r="C70" s="40"/>
      <c r="D70" s="40"/>
      <c r="E70" s="40"/>
      <c r="F70" s="40"/>
      <c r="I70" s="40"/>
      <c r="J70" s="40"/>
      <c r="K70" s="40"/>
      <c r="L70" s="40"/>
      <c r="M70" s="40"/>
      <c r="N70" s="40"/>
      <c r="O70" s="40"/>
      <c r="Q70" s="40"/>
      <c r="R70" s="40"/>
      <c r="S70" s="40"/>
      <c r="T70" s="40"/>
      <c r="U70" s="40"/>
      <c r="V70" s="40"/>
      <c r="W70" s="40"/>
      <c r="X70" s="40"/>
      <c r="Y70" s="40"/>
      <c r="Z70" s="40"/>
      <c r="AA70" s="40"/>
    </row>
    <row r="71" spans="1:27">
      <c r="A71" s="40"/>
      <c r="B71" s="40"/>
      <c r="C71" s="40"/>
      <c r="D71" s="40"/>
      <c r="E71" s="40"/>
      <c r="F71" s="40"/>
      <c r="I71" s="40"/>
      <c r="J71" s="40"/>
      <c r="K71" s="40"/>
      <c r="L71" s="40"/>
      <c r="M71" s="40"/>
      <c r="N71" s="40"/>
      <c r="O71" s="40"/>
      <c r="Q71" s="40"/>
      <c r="R71" s="40"/>
      <c r="S71" s="40"/>
      <c r="T71" s="40"/>
      <c r="U71" s="40"/>
      <c r="V71" s="40"/>
      <c r="W71" s="40"/>
      <c r="X71" s="40"/>
      <c r="Y71" s="40"/>
      <c r="Z71" s="40"/>
      <c r="AA71" s="40"/>
    </row>
    <row r="72" spans="1:27">
      <c r="A72" s="40"/>
      <c r="B72" s="40"/>
      <c r="C72" s="40"/>
      <c r="D72" s="40"/>
      <c r="E72" s="40"/>
      <c r="F72" s="40"/>
      <c r="I72" s="40"/>
      <c r="J72" s="40"/>
      <c r="K72" s="40"/>
      <c r="L72" s="40"/>
      <c r="M72" s="40"/>
      <c r="N72" s="40"/>
      <c r="O72" s="40"/>
      <c r="Q72" s="40"/>
      <c r="R72" s="40"/>
      <c r="S72" s="40"/>
      <c r="T72" s="40"/>
      <c r="U72" s="40"/>
      <c r="V72" s="40"/>
      <c r="W72" s="40"/>
      <c r="X72" s="40"/>
      <c r="Y72" s="40"/>
      <c r="Z72" s="40"/>
      <c r="AA72" s="40"/>
    </row>
    <row r="73" spans="1:27">
      <c r="A73" s="40"/>
      <c r="B73" s="40"/>
      <c r="C73" s="40"/>
      <c r="D73" s="40"/>
      <c r="E73" s="40"/>
      <c r="F73" s="40"/>
      <c r="I73" s="40"/>
      <c r="J73" s="40"/>
      <c r="K73" s="40"/>
      <c r="L73" s="40"/>
      <c r="M73" s="40"/>
      <c r="N73" s="40"/>
      <c r="O73" s="40"/>
      <c r="Q73" s="40"/>
      <c r="R73" s="40"/>
      <c r="S73" s="40"/>
      <c r="T73" s="40"/>
      <c r="U73" s="40"/>
      <c r="V73" s="40"/>
      <c r="W73" s="40"/>
      <c r="X73" s="40"/>
      <c r="Y73" s="40"/>
      <c r="Z73" s="40"/>
      <c r="AA73" s="40"/>
    </row>
    <row r="74" spans="1:27">
      <c r="A74" s="40"/>
      <c r="B74" s="40"/>
      <c r="C74" s="40"/>
      <c r="D74" s="40"/>
      <c r="E74" s="40"/>
      <c r="F74" s="40"/>
      <c r="I74" s="40"/>
      <c r="J74" s="40"/>
      <c r="K74" s="40"/>
      <c r="L74" s="40"/>
      <c r="M74" s="40"/>
      <c r="N74" s="40"/>
      <c r="O74" s="40"/>
      <c r="Q74" s="40"/>
      <c r="R74" s="40"/>
      <c r="S74" s="40"/>
      <c r="T74" s="40"/>
      <c r="U74" s="40"/>
      <c r="V74" s="40"/>
      <c r="W74" s="40"/>
      <c r="X74" s="40"/>
      <c r="Y74" s="40"/>
      <c r="Z74" s="40"/>
      <c r="AA74" s="40"/>
    </row>
    <row r="75" spans="1:27">
      <c r="A75" s="40"/>
      <c r="B75" s="40"/>
      <c r="C75" s="40"/>
      <c r="D75" s="40"/>
      <c r="E75" s="40"/>
      <c r="F75" s="40"/>
      <c r="I75" s="40"/>
      <c r="J75" s="40"/>
      <c r="K75" s="40"/>
      <c r="L75" s="40"/>
      <c r="M75" s="40"/>
      <c r="N75" s="40"/>
      <c r="O75" s="40"/>
      <c r="Q75" s="40"/>
      <c r="R75" s="40"/>
      <c r="S75" s="40"/>
      <c r="T75" s="40"/>
      <c r="U75" s="40"/>
      <c r="V75" s="40"/>
      <c r="W75" s="40"/>
      <c r="X75" s="40"/>
      <c r="Y75" s="40"/>
      <c r="Z75" s="40"/>
      <c r="AA75" s="40"/>
    </row>
    <row r="76" spans="1:27">
      <c r="A76" s="40"/>
      <c r="B76" s="40"/>
      <c r="C76" s="40"/>
      <c r="D76" s="40"/>
      <c r="E76" s="40"/>
      <c r="F76" s="40"/>
      <c r="I76" s="40"/>
      <c r="J76" s="40"/>
      <c r="K76" s="40"/>
      <c r="L76" s="40"/>
      <c r="M76" s="40"/>
      <c r="N76" s="40"/>
      <c r="O76" s="40"/>
      <c r="Q76" s="40"/>
      <c r="R76" s="40"/>
      <c r="S76" s="40"/>
      <c r="T76" s="40"/>
      <c r="U76" s="40"/>
      <c r="V76" s="40"/>
      <c r="W76" s="40"/>
      <c r="X76" s="40"/>
      <c r="Y76" s="40"/>
      <c r="Z76" s="40"/>
      <c r="AA76" s="40"/>
    </row>
    <row r="77" spans="1:27">
      <c r="A77" s="40"/>
      <c r="B77" s="40"/>
      <c r="C77" s="40"/>
      <c r="D77" s="40"/>
      <c r="I77" s="40"/>
      <c r="J77" s="40"/>
      <c r="K77" s="40"/>
      <c r="L77" s="40"/>
      <c r="M77" s="40"/>
      <c r="T77" s="195"/>
      <c r="U77" s="195"/>
    </row>
    <row r="78" spans="1:27" ht="20.100000000000001" customHeight="1">
      <c r="A78" s="40"/>
      <c r="B78" s="40"/>
      <c r="C78" s="40"/>
      <c r="D78" s="40"/>
      <c r="F78" s="40"/>
      <c r="I78" s="40"/>
      <c r="J78" s="40"/>
      <c r="K78" s="40"/>
      <c r="L78" s="40"/>
      <c r="M78" s="40"/>
      <c r="O78" s="40"/>
      <c r="T78" s="195"/>
      <c r="U78" s="195"/>
    </row>
    <row r="79" spans="1:27" ht="20.100000000000001" customHeight="1">
      <c r="A79" s="40"/>
      <c r="B79" s="40"/>
      <c r="C79" s="40"/>
      <c r="D79" s="40"/>
      <c r="F79" s="40"/>
      <c r="I79" s="40"/>
      <c r="J79" s="40"/>
      <c r="K79" s="40"/>
      <c r="L79" s="40"/>
      <c r="M79" s="40"/>
      <c r="O79" s="40"/>
      <c r="T79" s="195"/>
      <c r="U79" s="195"/>
    </row>
    <row r="80" spans="1:27" ht="20.100000000000001" customHeight="1">
      <c r="A80" s="40"/>
      <c r="B80" s="40"/>
      <c r="C80" s="40"/>
      <c r="D80" s="40"/>
      <c r="F80" s="40"/>
      <c r="I80" s="40"/>
      <c r="J80" s="40"/>
      <c r="K80" s="40"/>
      <c r="L80" s="40"/>
      <c r="M80" s="40"/>
      <c r="O80" s="40"/>
      <c r="T80" s="195"/>
      <c r="U80" s="195"/>
    </row>
    <row r="81" spans="1:21" ht="20.100000000000001" customHeight="1">
      <c r="A81" s="40"/>
      <c r="B81" s="40"/>
      <c r="C81" s="40"/>
      <c r="D81" s="40"/>
      <c r="F81" s="40"/>
      <c r="I81" s="40"/>
      <c r="J81" s="40"/>
      <c r="K81" s="40"/>
      <c r="L81" s="40"/>
      <c r="M81" s="40"/>
      <c r="O81" s="40"/>
      <c r="T81" s="195"/>
      <c r="U81" s="195"/>
    </row>
    <row r="82" spans="1:21" ht="20.100000000000001" customHeight="1">
      <c r="A82" s="40"/>
      <c r="B82" s="40"/>
      <c r="C82" s="40"/>
      <c r="D82" s="40"/>
      <c r="F82" s="40"/>
      <c r="I82" s="40"/>
      <c r="J82" s="40"/>
      <c r="K82" s="40"/>
      <c r="L82" s="40"/>
      <c r="M82" s="40"/>
      <c r="O82" s="40"/>
      <c r="T82" s="195"/>
      <c r="U82" s="195"/>
    </row>
    <row r="83" spans="1:21" ht="20.100000000000001" customHeight="1">
      <c r="A83" s="40"/>
      <c r="B83" s="40"/>
      <c r="C83" s="40"/>
      <c r="D83" s="40"/>
      <c r="F83" s="40"/>
      <c r="I83" s="40"/>
      <c r="J83" s="40"/>
      <c r="K83" s="40"/>
      <c r="L83" s="40"/>
      <c r="M83" s="40"/>
      <c r="O83" s="40"/>
      <c r="T83" s="195"/>
      <c r="U83" s="195"/>
    </row>
    <row r="84" spans="1:21" ht="20.100000000000001" customHeight="1">
      <c r="A84" s="40"/>
      <c r="B84" s="40"/>
      <c r="C84" s="40"/>
      <c r="D84" s="40"/>
      <c r="F84" s="40"/>
      <c r="I84" s="40"/>
      <c r="J84" s="40"/>
      <c r="K84" s="40"/>
      <c r="L84" s="40"/>
      <c r="M84" s="40"/>
      <c r="O84" s="40"/>
      <c r="T84" s="195"/>
      <c r="U84" s="195"/>
    </row>
    <row r="85" spans="1:21" ht="20.100000000000001" customHeight="1">
      <c r="A85" s="40"/>
      <c r="B85" s="40"/>
      <c r="C85" s="40"/>
      <c r="D85" s="40"/>
      <c r="F85" s="40"/>
      <c r="I85" s="40"/>
      <c r="J85" s="40"/>
      <c r="K85" s="40"/>
      <c r="L85" s="40"/>
      <c r="M85" s="40"/>
      <c r="O85" s="40"/>
      <c r="T85" s="195"/>
      <c r="U85" s="195"/>
    </row>
    <row r="86" spans="1:21" ht="20.100000000000001" customHeight="1">
      <c r="A86" s="40"/>
      <c r="B86" s="40"/>
      <c r="C86" s="40"/>
      <c r="D86" s="40"/>
      <c r="F86" s="40"/>
      <c r="I86" s="40"/>
      <c r="J86" s="40"/>
      <c r="K86" s="40"/>
      <c r="L86" s="40"/>
      <c r="M86" s="40"/>
      <c r="O86" s="40"/>
      <c r="T86" s="195"/>
      <c r="U86" s="195"/>
    </row>
    <row r="87" spans="1:21" ht="20.100000000000001" customHeight="1">
      <c r="A87" s="40"/>
      <c r="B87" s="40"/>
      <c r="C87" s="40"/>
      <c r="D87" s="40"/>
      <c r="F87" s="40"/>
      <c r="I87" s="40"/>
      <c r="J87" s="40"/>
      <c r="K87" s="40"/>
      <c r="L87" s="40"/>
      <c r="M87" s="40"/>
      <c r="O87" s="40"/>
      <c r="T87" s="195"/>
      <c r="U87" s="195"/>
    </row>
    <row r="88" spans="1:21" ht="20.100000000000001" customHeight="1">
      <c r="A88" s="40"/>
      <c r="B88" s="40"/>
      <c r="C88" s="40"/>
      <c r="D88" s="40"/>
      <c r="I88" s="40"/>
      <c r="J88" s="40"/>
      <c r="K88" s="40"/>
      <c r="L88" s="40"/>
      <c r="M88" s="40"/>
    </row>
    <row r="89" spans="1:21">
      <c r="A89" s="40"/>
      <c r="B89" s="40"/>
      <c r="C89" s="40"/>
      <c r="D89" s="40"/>
      <c r="I89" s="40"/>
      <c r="J89" s="40"/>
      <c r="K89" s="40"/>
      <c r="L89" s="40"/>
      <c r="M89" s="40"/>
    </row>
    <row r="90" spans="1:21">
      <c r="A90" s="40"/>
      <c r="B90" s="40"/>
      <c r="C90" s="40"/>
      <c r="D90" s="40"/>
      <c r="I90" s="40"/>
      <c r="J90" s="40"/>
      <c r="K90" s="40"/>
      <c r="L90" s="40"/>
      <c r="M90" s="40"/>
    </row>
    <row r="91" spans="1:21">
      <c r="A91" s="40"/>
      <c r="B91" s="40"/>
      <c r="C91" s="40"/>
      <c r="D91" s="40"/>
      <c r="I91" s="40"/>
      <c r="J91" s="40"/>
      <c r="K91" s="40"/>
      <c r="L91" s="40"/>
      <c r="M91" s="40"/>
    </row>
    <row r="92" spans="1:21">
      <c r="A92" s="40"/>
      <c r="B92" s="40"/>
      <c r="C92" s="40"/>
      <c r="D92" s="40"/>
      <c r="I92" s="40"/>
      <c r="J92" s="40"/>
      <c r="K92" s="40"/>
      <c r="L92" s="40"/>
      <c r="M92" s="40"/>
    </row>
    <row r="93" spans="1:21">
      <c r="A93" s="40"/>
      <c r="B93" s="40"/>
      <c r="C93" s="40"/>
      <c r="D93" s="40"/>
      <c r="I93" s="40"/>
      <c r="J93" s="40"/>
      <c r="K93" s="40"/>
      <c r="L93" s="40"/>
      <c r="M93" s="40"/>
    </row>
    <row r="94" spans="1:21">
      <c r="A94" s="40"/>
      <c r="B94" s="40"/>
      <c r="C94" s="40"/>
      <c r="D94" s="40"/>
      <c r="E94" s="40"/>
      <c r="F94" s="7"/>
      <c r="I94" s="40"/>
      <c r="J94" s="40"/>
      <c r="K94" s="40"/>
      <c r="L94" s="40"/>
      <c r="M94" s="40"/>
      <c r="N94" s="40"/>
      <c r="O94" s="196"/>
      <c r="Q94" s="197"/>
    </row>
    <row r="95" spans="1:21">
      <c r="A95" s="40"/>
      <c r="B95" s="40"/>
      <c r="C95" s="40"/>
      <c r="D95" s="40"/>
      <c r="E95" s="40"/>
      <c r="I95" s="40"/>
      <c r="J95" s="40"/>
      <c r="K95" s="40"/>
      <c r="L95" s="40"/>
      <c r="M95" s="40"/>
      <c r="N95" s="40"/>
    </row>
    <row r="96" spans="1:21">
      <c r="A96" s="40"/>
      <c r="B96" s="40"/>
      <c r="C96" s="40"/>
      <c r="D96" s="40"/>
      <c r="E96" s="40"/>
      <c r="F96" s="40"/>
      <c r="I96" s="40"/>
      <c r="J96" s="40"/>
      <c r="K96" s="40"/>
      <c r="L96" s="40"/>
      <c r="M96" s="40"/>
      <c r="N96" s="40"/>
      <c r="O96" s="40"/>
    </row>
    <row r="97" spans="1:15">
      <c r="A97" s="40"/>
      <c r="B97" s="40"/>
      <c r="C97" s="40"/>
      <c r="D97" s="40"/>
      <c r="E97" s="40"/>
      <c r="F97" s="40"/>
      <c r="I97" s="40"/>
      <c r="J97" s="40"/>
      <c r="K97" s="40"/>
      <c r="L97" s="40"/>
      <c r="M97" s="40"/>
      <c r="N97" s="40"/>
      <c r="O97" s="40"/>
    </row>
    <row r="98" spans="1:15">
      <c r="A98" s="40"/>
      <c r="B98" s="40"/>
      <c r="C98" s="40"/>
      <c r="D98" s="40"/>
      <c r="E98" s="40"/>
      <c r="F98" s="40"/>
      <c r="I98" s="40"/>
      <c r="J98" s="40"/>
      <c r="K98" s="40"/>
      <c r="L98" s="40"/>
      <c r="M98" s="40"/>
      <c r="N98" s="40"/>
      <c r="O98" s="40"/>
    </row>
    <row r="99" spans="1:15">
      <c r="A99" s="40"/>
      <c r="B99" s="40"/>
      <c r="C99" s="40"/>
      <c r="D99" s="40"/>
      <c r="E99" s="40"/>
      <c r="F99" s="40"/>
      <c r="I99" s="40"/>
      <c r="J99" s="40"/>
      <c r="K99" s="40"/>
      <c r="L99" s="40"/>
      <c r="M99" s="40"/>
      <c r="N99" s="40"/>
      <c r="O99" s="40"/>
    </row>
    <row r="100" spans="1:15">
      <c r="A100" s="40"/>
      <c r="B100" s="40"/>
      <c r="C100" s="40"/>
      <c r="D100" s="40"/>
      <c r="E100" s="40"/>
      <c r="F100" s="40"/>
      <c r="I100" s="40"/>
      <c r="J100" s="40"/>
      <c r="K100" s="40"/>
      <c r="L100" s="40"/>
      <c r="M100" s="40"/>
      <c r="N100" s="40"/>
      <c r="O100" s="40"/>
    </row>
    <row r="101" spans="1:15">
      <c r="A101" s="40"/>
      <c r="B101" s="40"/>
      <c r="C101" s="40"/>
      <c r="D101" s="40"/>
      <c r="E101" s="40"/>
      <c r="F101" s="40"/>
      <c r="I101" s="40"/>
      <c r="J101" s="40"/>
      <c r="K101" s="40"/>
      <c r="L101" s="40"/>
      <c r="M101" s="40"/>
      <c r="N101" s="40"/>
      <c r="O101" s="40"/>
    </row>
    <row r="102" spans="1:15">
      <c r="A102" s="40"/>
      <c r="B102" s="40"/>
      <c r="C102" s="40"/>
      <c r="D102" s="40"/>
      <c r="E102" s="40"/>
      <c r="F102" s="40"/>
      <c r="I102" s="40"/>
      <c r="J102" s="40"/>
      <c r="K102" s="40"/>
      <c r="L102" s="40"/>
      <c r="M102" s="40"/>
      <c r="N102" s="40"/>
      <c r="O102" s="40"/>
    </row>
    <row r="103" spans="1:15">
      <c r="A103" s="40"/>
      <c r="B103" s="40"/>
      <c r="C103" s="40"/>
      <c r="D103" s="40"/>
      <c r="E103" s="40"/>
      <c r="F103" s="40"/>
      <c r="I103" s="40"/>
      <c r="J103" s="40"/>
      <c r="K103" s="40"/>
      <c r="L103" s="40"/>
      <c r="M103" s="40"/>
      <c r="N103" s="40"/>
      <c r="O103" s="40"/>
    </row>
    <row r="104" spans="1:15">
      <c r="A104" s="40"/>
      <c r="B104" s="40"/>
      <c r="C104" s="40"/>
      <c r="D104" s="40"/>
      <c r="E104" s="40"/>
      <c r="F104" s="40"/>
      <c r="I104" s="40"/>
      <c r="J104" s="40"/>
      <c r="K104" s="40"/>
      <c r="L104" s="40"/>
      <c r="M104" s="40"/>
      <c r="N104" s="40"/>
      <c r="O104" s="40"/>
    </row>
    <row r="105" spans="1:15">
      <c r="A105" s="40"/>
      <c r="B105" s="40"/>
      <c r="C105" s="40"/>
      <c r="D105" s="40"/>
      <c r="E105" s="40"/>
      <c r="F105" s="40"/>
      <c r="I105" s="40"/>
      <c r="J105" s="40"/>
      <c r="K105" s="40"/>
      <c r="L105" s="40"/>
      <c r="M105" s="40"/>
      <c r="N105" s="40"/>
      <c r="O105" s="40"/>
    </row>
    <row r="106" spans="1:15">
      <c r="A106" s="40"/>
      <c r="B106" s="40"/>
      <c r="C106" s="40"/>
      <c r="D106" s="40"/>
      <c r="E106" s="40"/>
      <c r="F106" s="40"/>
      <c r="I106" s="40"/>
      <c r="J106" s="40"/>
      <c r="K106" s="40"/>
      <c r="L106" s="40"/>
      <c r="M106" s="40"/>
      <c r="N106" s="40"/>
      <c r="O106" s="40"/>
    </row>
    <row r="107" spans="1:15">
      <c r="A107" s="40"/>
      <c r="B107" s="40"/>
      <c r="C107" s="40"/>
      <c r="D107" s="40"/>
      <c r="E107" s="40"/>
      <c r="F107" s="40"/>
      <c r="I107" s="40"/>
      <c r="J107" s="40"/>
      <c r="K107" s="40"/>
      <c r="L107" s="40"/>
      <c r="M107" s="40"/>
      <c r="N107" s="40"/>
      <c r="O107" s="40"/>
    </row>
    <row r="108" spans="1:15">
      <c r="A108" s="40"/>
      <c r="B108" s="40"/>
      <c r="C108" s="40"/>
      <c r="D108" s="40"/>
      <c r="E108" s="40"/>
      <c r="F108" s="40"/>
      <c r="I108" s="40"/>
      <c r="J108" s="40"/>
      <c r="K108" s="40"/>
      <c r="L108" s="40"/>
      <c r="M108" s="40"/>
      <c r="N108" s="40"/>
      <c r="O108" s="40"/>
    </row>
    <row r="109" spans="1:15">
      <c r="A109" s="40"/>
      <c r="B109" s="40"/>
      <c r="C109" s="40"/>
      <c r="D109" s="40"/>
      <c r="E109" s="40"/>
      <c r="F109" s="40"/>
      <c r="I109" s="40"/>
      <c r="J109" s="40"/>
      <c r="K109" s="40"/>
      <c r="L109" s="40"/>
      <c r="M109" s="40"/>
      <c r="N109" s="40"/>
      <c r="O109" s="40"/>
    </row>
    <row r="110" spans="1:15">
      <c r="A110" s="40"/>
      <c r="B110" s="40"/>
      <c r="C110" s="40"/>
      <c r="D110" s="40"/>
      <c r="E110" s="40"/>
      <c r="F110" s="40"/>
      <c r="I110" s="40"/>
      <c r="J110" s="40"/>
      <c r="K110" s="40"/>
      <c r="L110" s="40"/>
      <c r="M110" s="40"/>
      <c r="N110" s="40"/>
      <c r="O110" s="40"/>
    </row>
    <row r="111" spans="1:15">
      <c r="A111" s="40"/>
      <c r="B111" s="40"/>
      <c r="C111" s="40"/>
      <c r="D111" s="40"/>
      <c r="E111" s="40"/>
      <c r="F111" s="40"/>
      <c r="I111" s="40"/>
      <c r="J111" s="40"/>
      <c r="K111" s="40"/>
      <c r="L111" s="40"/>
      <c r="M111" s="40"/>
      <c r="N111" s="40"/>
      <c r="O111" s="40"/>
    </row>
    <row r="112" spans="1:15">
      <c r="A112" s="40"/>
      <c r="B112" s="40"/>
      <c r="C112" s="40"/>
      <c r="D112" s="40"/>
      <c r="E112" s="40"/>
      <c r="F112" s="40"/>
      <c r="I112" s="40"/>
      <c r="J112" s="40"/>
      <c r="K112" s="40"/>
      <c r="L112" s="40"/>
      <c r="M112" s="40"/>
      <c r="N112" s="40"/>
      <c r="O112" s="40"/>
    </row>
    <row r="113" spans="1:15">
      <c r="A113" s="40"/>
      <c r="B113" s="40"/>
      <c r="C113" s="40"/>
      <c r="D113" s="40"/>
      <c r="E113" s="40"/>
      <c r="F113" s="40"/>
      <c r="I113" s="40"/>
      <c r="J113" s="40"/>
      <c r="K113" s="40"/>
      <c r="L113" s="40"/>
      <c r="M113" s="40"/>
      <c r="N113" s="40"/>
      <c r="O113" s="40"/>
    </row>
    <row r="171" spans="8:16" s="4" customFormat="1">
      <c r="H171" s="6"/>
      <c r="P171" s="6"/>
    </row>
    <row r="172" spans="8:16" s="4" customFormat="1">
      <c r="H172" s="6"/>
      <c r="P172" s="6"/>
    </row>
    <row r="173" spans="8:16" s="4" customFormat="1">
      <c r="H173" s="6"/>
      <c r="P173" s="6"/>
    </row>
    <row r="174" spans="8:16" s="4" customFormat="1">
      <c r="H174" s="6"/>
      <c r="P174" s="6"/>
    </row>
    <row r="175" spans="8:16" s="4" customFormat="1">
      <c r="H175" s="6"/>
      <c r="P175" s="6"/>
    </row>
    <row r="176" spans="8:16" s="4" customFormat="1">
      <c r="H176" s="6"/>
      <c r="P176" s="6"/>
    </row>
    <row r="177" spans="8:16" s="4" customFormat="1">
      <c r="H177" s="6"/>
      <c r="P177" s="6"/>
    </row>
    <row r="178" spans="8:16" s="4" customFormat="1">
      <c r="H178" s="6"/>
      <c r="P178" s="6"/>
    </row>
    <row r="179" spans="8:16" s="4" customFormat="1">
      <c r="H179" s="6"/>
      <c r="P179" s="6"/>
    </row>
    <row r="180" spans="8:16" s="4" customFormat="1">
      <c r="H180" s="6"/>
      <c r="P180" s="6"/>
    </row>
  </sheetData>
  <sheetProtection algorithmName="SHA-512" hashValue="CZ29Lz40i6J4xga4Ku4U2aP5veZxPI2XlXlHxshHcrxeYjZ8ad9uP3k8nVE33VKNRSrEVX98lpIkB1RXlFekkA==" saltValue="z9pF4hZyG9NtV7xqCpgEFA==" spinCount="100000" sheet="1" objects="1" scenarios="1"/>
  <mergeCells count="8">
    <mergeCell ref="B9:F9"/>
    <mergeCell ref="J47:O47"/>
    <mergeCell ref="B47:F47"/>
    <mergeCell ref="D26:F26"/>
    <mergeCell ref="B53:F53"/>
    <mergeCell ref="B11:D11"/>
    <mergeCell ref="B13:D13"/>
    <mergeCell ref="B15:D15"/>
  </mergeCells>
  <dataValidations count="3">
    <dataValidation type="decimal" operator="lessThanOrEqual" allowBlank="1" showInputMessage="1" showErrorMessage="1" error="Amount cannot exceed 30% of the Eligible Basis." sqref="D35" xr:uid="{00000000-0002-0000-0900-000000000000}">
      <formula1>D34*0.3</formula1>
    </dataValidation>
    <dataValidation type="list" allowBlank="1" showInputMessage="1" showErrorMessage="1" sqref="F11 F13" xr:uid="{00000000-0002-0000-0900-000001000000}">
      <formula1>$M$3:$M$4</formula1>
    </dataValidation>
    <dataValidation type="list" allowBlank="1" showInputMessage="1" showErrorMessage="1" sqref="F15" xr:uid="{00000000-0002-0000-0900-000002000000}">
      <formula1>$O$3:$O$5</formula1>
    </dataValidation>
  </dataValidation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AG168"/>
  <sheetViews>
    <sheetView workbookViewId="0"/>
  </sheetViews>
  <sheetFormatPr defaultColWidth="11.42578125" defaultRowHeight="12.75"/>
  <cols>
    <col min="1" max="1" width="4.140625" style="4" customWidth="1"/>
    <col min="2" max="2" width="60.7109375" style="4" customWidth="1"/>
    <col min="3" max="4" width="2.7109375" style="4" customWidth="1"/>
    <col min="5" max="5" width="15.7109375" style="4" customWidth="1"/>
    <col min="6" max="6" width="2.7109375" style="4" customWidth="1"/>
    <col min="7" max="7" width="15.7109375" style="4" customWidth="1"/>
    <col min="8" max="8" width="11.42578125" style="40"/>
    <col min="9" max="9" width="5.7109375" style="41" customWidth="1"/>
    <col min="10" max="10" width="4.140625" style="4" hidden="1" customWidth="1"/>
    <col min="11" max="11" width="60.7109375" style="4" hidden="1" customWidth="1"/>
    <col min="12" max="13" width="2.7109375" style="4" hidden="1" customWidth="1"/>
    <col min="14" max="14" width="15.7109375" style="4" hidden="1" customWidth="1"/>
    <col min="15" max="15" width="2.7109375" style="4" hidden="1" customWidth="1"/>
    <col min="16" max="16" width="15.7109375" style="4" hidden="1" customWidth="1"/>
    <col min="17" max="17" width="5.7109375" style="6" customWidth="1"/>
    <col min="18" max="28" width="10.7109375" style="4" customWidth="1"/>
    <col min="29" max="16384" width="11.42578125" style="40"/>
  </cols>
  <sheetData>
    <row r="1" spans="1:28">
      <c r="A1" s="1302" t="str">
        <f>IF('FORM 1040-1'!D15="","",'FORM 1040-1'!D15)</f>
        <v/>
      </c>
      <c r="B1" s="1303"/>
      <c r="C1" s="1303"/>
      <c r="D1" s="1303"/>
      <c r="E1" s="1303"/>
      <c r="F1" s="1303"/>
      <c r="G1" s="1294" t="str">
        <f>IF('FORM 1040-1'!$E$12="","",'FORM 1040-1'!$E$12)</f>
        <v/>
      </c>
      <c r="J1" s="814"/>
      <c r="K1" s="814"/>
      <c r="L1" s="814"/>
      <c r="M1" s="814"/>
      <c r="N1" s="814"/>
      <c r="O1" s="814"/>
      <c r="P1" s="814"/>
      <c r="R1" s="814"/>
      <c r="S1" s="814"/>
      <c r="T1" s="814"/>
      <c r="U1" s="814"/>
      <c r="V1" s="814"/>
      <c r="W1" s="814"/>
      <c r="X1" s="814"/>
      <c r="Y1" s="814"/>
      <c r="Z1" s="814"/>
      <c r="AA1" s="814"/>
      <c r="AB1" s="814"/>
    </row>
    <row r="2" spans="1:28">
      <c r="A2" s="814"/>
      <c r="B2" s="814"/>
      <c r="C2" s="814"/>
      <c r="D2" s="814"/>
      <c r="E2" s="814"/>
      <c r="F2" s="814"/>
      <c r="G2" s="814"/>
      <c r="J2" s="814"/>
      <c r="K2" s="814"/>
      <c r="L2" s="814"/>
      <c r="M2" s="814"/>
      <c r="N2" s="814"/>
      <c r="O2" s="814"/>
      <c r="P2" s="814"/>
      <c r="R2" s="814"/>
      <c r="S2" s="814"/>
      <c r="T2" s="814"/>
      <c r="U2" s="814"/>
      <c r="V2" s="814"/>
      <c r="W2" s="814"/>
      <c r="X2" s="814"/>
      <c r="Y2" s="814"/>
      <c r="Z2" s="814"/>
      <c r="AA2" s="814"/>
      <c r="AB2" s="814"/>
    </row>
    <row r="3" spans="1:28" ht="15.75" customHeight="1">
      <c r="A3" s="1704" t="s">
        <v>2306</v>
      </c>
      <c r="B3" s="1704"/>
      <c r="C3" s="1704"/>
      <c r="D3" s="1704"/>
      <c r="E3" s="1704"/>
      <c r="F3" s="1704"/>
      <c r="G3" s="1704"/>
      <c r="J3" s="1672" t="s">
        <v>1493</v>
      </c>
      <c r="K3" s="1672"/>
      <c r="L3" s="1672"/>
      <c r="M3" s="1672"/>
      <c r="N3" s="1672"/>
      <c r="O3" s="1672"/>
      <c r="P3" s="1672"/>
      <c r="Q3" s="102"/>
      <c r="R3" s="103"/>
    </row>
    <row r="4" spans="1:28" ht="12.95" customHeight="1">
      <c r="A4" s="12"/>
      <c r="D4" s="105"/>
      <c r="E4" s="105"/>
      <c r="F4" s="105"/>
      <c r="G4" s="105"/>
      <c r="J4" s="12"/>
      <c r="M4" s="105"/>
      <c r="N4" s="105"/>
      <c r="O4" s="105"/>
      <c r="P4" s="105"/>
    </row>
    <row r="5" spans="1:28">
      <c r="A5" s="12" t="s">
        <v>140</v>
      </c>
      <c r="B5" s="4" t="s">
        <v>602</v>
      </c>
      <c r="D5" s="105"/>
      <c r="E5" s="107"/>
      <c r="F5" s="107"/>
      <c r="G5" s="107"/>
      <c r="J5" s="12" t="s">
        <v>140</v>
      </c>
      <c r="K5" s="4" t="s">
        <v>602</v>
      </c>
      <c r="M5" s="105"/>
      <c r="N5" s="107"/>
      <c r="O5" s="107"/>
      <c r="P5" s="107"/>
    </row>
    <row r="6" spans="1:28" ht="12.95" customHeight="1" thickBot="1">
      <c r="D6" s="105"/>
      <c r="E6" s="105"/>
      <c r="F6" s="105"/>
      <c r="G6" s="105"/>
      <c r="M6" s="105"/>
      <c r="N6" s="105"/>
      <c r="O6" s="105"/>
      <c r="P6" s="105"/>
    </row>
    <row r="7" spans="1:28" ht="14.1" customHeight="1" thickTop="1">
      <c r="B7" s="198"/>
      <c r="C7" s="108"/>
      <c r="D7" s="105"/>
      <c r="E7" s="109" t="str">
        <f>"(A)"</f>
        <v>(A)</v>
      </c>
      <c r="F7" s="12"/>
      <c r="G7" s="46" t="s">
        <v>397</v>
      </c>
      <c r="K7" s="198"/>
      <c r="L7" s="108"/>
      <c r="M7" s="105"/>
      <c r="N7" s="109" t="str">
        <f>"(A)"</f>
        <v>(A)</v>
      </c>
      <c r="O7" s="12"/>
      <c r="P7" s="46" t="s">
        <v>397</v>
      </c>
    </row>
    <row r="8" spans="1:28" ht="14.1" customHeight="1">
      <c r="B8" s="110" t="s">
        <v>98</v>
      </c>
      <c r="C8" s="108"/>
      <c r="D8" s="105"/>
      <c r="E8" s="110" t="s">
        <v>354</v>
      </c>
      <c r="G8" s="130"/>
      <c r="K8" s="110" t="s">
        <v>98</v>
      </c>
      <c r="L8" s="108"/>
      <c r="M8" s="105"/>
      <c r="N8" s="110" t="s">
        <v>354</v>
      </c>
      <c r="P8" s="130"/>
    </row>
    <row r="9" spans="1:28" ht="14.1" customHeight="1">
      <c r="B9" s="1743" t="s">
        <v>633</v>
      </c>
      <c r="C9" s="108"/>
      <c r="D9" s="105"/>
      <c r="E9" s="110" t="s">
        <v>355</v>
      </c>
      <c r="G9" s="130"/>
      <c r="K9" s="1743" t="s">
        <v>633</v>
      </c>
      <c r="L9" s="108"/>
      <c r="M9" s="105"/>
      <c r="N9" s="110" t="s">
        <v>355</v>
      </c>
      <c r="P9" s="130"/>
    </row>
    <row r="10" spans="1:28" ht="14.1" customHeight="1" thickBot="1">
      <c r="B10" s="1688"/>
      <c r="C10" s="108"/>
      <c r="D10" s="105"/>
      <c r="E10" s="51" t="s">
        <v>358</v>
      </c>
      <c r="F10" s="26"/>
      <c r="G10" s="51" t="s">
        <v>359</v>
      </c>
      <c r="K10" s="1688"/>
      <c r="L10" s="108"/>
      <c r="M10" s="105"/>
      <c r="N10" s="51" t="s">
        <v>358</v>
      </c>
      <c r="O10" s="26"/>
      <c r="P10" s="51" t="s">
        <v>359</v>
      </c>
    </row>
    <row r="11" spans="1:28" ht="12.95" customHeight="1" thickTop="1">
      <c r="A11" s="85"/>
      <c r="B11" s="8"/>
      <c r="C11" s="8"/>
      <c r="D11" s="105"/>
      <c r="E11" s="111"/>
      <c r="F11" s="111"/>
      <c r="G11" s="111"/>
      <c r="J11" s="85"/>
      <c r="K11" s="8"/>
      <c r="L11" s="8"/>
      <c r="M11" s="105"/>
      <c r="N11" s="111"/>
      <c r="O11" s="111"/>
      <c r="P11" s="111"/>
    </row>
    <row r="12" spans="1:28" ht="18" customHeight="1" thickBot="1">
      <c r="A12" s="85"/>
      <c r="B12" s="10" t="s">
        <v>603</v>
      </c>
      <c r="C12" s="8"/>
      <c r="D12" s="105"/>
      <c r="E12" s="179"/>
      <c r="F12" s="107"/>
      <c r="G12" s="179"/>
      <c r="J12" s="85"/>
      <c r="K12" s="10" t="s">
        <v>603</v>
      </c>
      <c r="L12" s="8"/>
      <c r="M12" s="105"/>
      <c r="N12" s="180" t="str">
        <f>IF(E12="","",(E12))</f>
        <v/>
      </c>
      <c r="O12" s="107"/>
      <c r="P12" s="180" t="str">
        <f>IF(G12="","",(G12))</f>
        <v/>
      </c>
    </row>
    <row r="13" spans="1:28" ht="18" customHeight="1" thickTop="1" thickBot="1">
      <c r="A13" s="85"/>
      <c r="B13" s="10" t="s">
        <v>604</v>
      </c>
      <c r="C13" s="8"/>
      <c r="D13" s="105"/>
      <c r="E13" s="188"/>
      <c r="F13" s="189"/>
      <c r="G13" s="188"/>
      <c r="J13" s="85"/>
      <c r="K13" s="10" t="s">
        <v>604</v>
      </c>
      <c r="L13" s="8"/>
      <c r="M13" s="105"/>
      <c r="N13" s="190" t="str">
        <f>IF(E13="","",(E13))</f>
        <v/>
      </c>
      <c r="O13" s="189"/>
      <c r="P13" s="190" t="str">
        <f>IF(G13="","",(G13))</f>
        <v/>
      </c>
    </row>
    <row r="14" spans="1:28" ht="18" customHeight="1" thickTop="1" thickBot="1">
      <c r="A14" s="85"/>
      <c r="B14" s="10" t="s">
        <v>2361</v>
      </c>
      <c r="C14" s="8"/>
      <c r="D14" s="105"/>
      <c r="E14" s="191">
        <f>TRUNC(+E12*E13)</f>
        <v>0</v>
      </c>
      <c r="F14" s="111"/>
      <c r="G14" s="191">
        <f>TRUNC(+G12*G13)</f>
        <v>0</v>
      </c>
      <c r="J14" s="85"/>
      <c r="K14" s="10" t="s">
        <v>2361</v>
      </c>
      <c r="L14" s="8"/>
      <c r="M14" s="105"/>
      <c r="N14" s="199" t="str">
        <f>IF(E14=0,"",(E14))</f>
        <v/>
      </c>
      <c r="O14" s="111"/>
      <c r="P14" s="199" t="str">
        <f>IF(G14=0,"",(G14))</f>
        <v/>
      </c>
    </row>
    <row r="15" spans="1:28" ht="12.95" customHeight="1" thickTop="1">
      <c r="A15" s="85"/>
      <c r="B15" s="8"/>
      <c r="C15" s="8"/>
      <c r="D15" s="105"/>
      <c r="E15" s="111"/>
      <c r="F15" s="111"/>
      <c r="G15" s="111"/>
      <c r="J15" s="85"/>
      <c r="K15" s="8"/>
      <c r="L15" s="8"/>
      <c r="M15" s="105"/>
      <c r="N15" s="111"/>
      <c r="O15" s="111"/>
      <c r="P15" s="111"/>
    </row>
    <row r="16" spans="1:28" ht="18" customHeight="1" thickBot="1">
      <c r="A16" s="85"/>
      <c r="B16" s="10" t="s">
        <v>605</v>
      </c>
      <c r="C16" s="8"/>
      <c r="D16" s="105"/>
      <c r="E16" s="179"/>
      <c r="F16" s="107"/>
      <c r="G16" s="179"/>
      <c r="J16" s="85"/>
      <c r="K16" s="10" t="s">
        <v>605</v>
      </c>
      <c r="L16" s="8"/>
      <c r="M16" s="105"/>
      <c r="N16" s="180" t="str">
        <f>IF(E16="","",(E16))</f>
        <v/>
      </c>
      <c r="O16" s="107"/>
      <c r="P16" s="180" t="str">
        <f>IF(G16="","",(G16))</f>
        <v/>
      </c>
    </row>
    <row r="17" spans="1:16" ht="18" customHeight="1" thickTop="1" thickBot="1">
      <c r="A17" s="85"/>
      <c r="B17" s="10" t="s">
        <v>606</v>
      </c>
      <c r="C17" s="8"/>
      <c r="D17" s="105"/>
      <c r="E17" s="188"/>
      <c r="F17" s="189"/>
      <c r="G17" s="188"/>
      <c r="J17" s="85"/>
      <c r="K17" s="10" t="s">
        <v>606</v>
      </c>
      <c r="L17" s="8"/>
      <c r="M17" s="105"/>
      <c r="N17" s="190" t="str">
        <f>IF(E17="","",(E17))</f>
        <v/>
      </c>
      <c r="O17" s="189"/>
      <c r="P17" s="190" t="str">
        <f>IF(G17="","",(G17))</f>
        <v/>
      </c>
    </row>
    <row r="18" spans="1:16" ht="18" customHeight="1" thickTop="1" thickBot="1">
      <c r="A18" s="85"/>
      <c r="B18" s="10" t="s">
        <v>2362</v>
      </c>
      <c r="C18" s="8"/>
      <c r="D18" s="105"/>
      <c r="E18" s="191">
        <f>TRUNC(+E16*E17)</f>
        <v>0</v>
      </c>
      <c r="F18" s="111"/>
      <c r="G18" s="191">
        <f>TRUNC(+G16*G17)</f>
        <v>0</v>
      </c>
      <c r="J18" s="85"/>
      <c r="K18" s="10" t="s">
        <v>2362</v>
      </c>
      <c r="L18" s="8"/>
      <c r="M18" s="105"/>
      <c r="N18" s="199" t="str">
        <f>IF(E18=0,"",(E18))</f>
        <v/>
      </c>
      <c r="O18" s="111"/>
      <c r="P18" s="199" t="str">
        <f>IF(G18=0,"",(G18))</f>
        <v/>
      </c>
    </row>
    <row r="19" spans="1:16" ht="12.95" customHeight="1" thickTop="1">
      <c r="A19" s="85"/>
      <c r="B19" s="8"/>
      <c r="C19" s="8"/>
      <c r="D19" s="105"/>
      <c r="E19" s="111"/>
      <c r="F19" s="111"/>
      <c r="G19" s="111"/>
      <c r="J19" s="85"/>
      <c r="K19" s="8"/>
      <c r="L19" s="8"/>
      <c r="M19" s="105"/>
      <c r="N19" s="111"/>
      <c r="O19" s="111"/>
      <c r="P19" s="111"/>
    </row>
    <row r="20" spans="1:16" ht="18" customHeight="1" thickBot="1">
      <c r="A20" s="85"/>
      <c r="B20" s="10" t="s">
        <v>607</v>
      </c>
      <c r="C20" s="8"/>
      <c r="D20" s="105"/>
      <c r="E20" s="179"/>
      <c r="F20" s="107"/>
      <c r="G20" s="179"/>
      <c r="J20" s="85"/>
      <c r="K20" s="10" t="s">
        <v>607</v>
      </c>
      <c r="L20" s="8"/>
      <c r="M20" s="105"/>
      <c r="N20" s="180" t="str">
        <f>IF(E20="","",(E20))</f>
        <v/>
      </c>
      <c r="O20" s="107"/>
      <c r="P20" s="180" t="str">
        <f>IF(G20="","",(G20))</f>
        <v/>
      </c>
    </row>
    <row r="21" spans="1:16" ht="18" customHeight="1" thickTop="1" thickBot="1">
      <c r="A21" s="85"/>
      <c r="B21" s="10" t="s">
        <v>608</v>
      </c>
      <c r="C21" s="8"/>
      <c r="D21" s="105"/>
      <c r="E21" s="188"/>
      <c r="F21" s="189"/>
      <c r="G21" s="188"/>
      <c r="J21" s="85"/>
      <c r="K21" s="10" t="s">
        <v>608</v>
      </c>
      <c r="L21" s="8"/>
      <c r="M21" s="105"/>
      <c r="N21" s="190" t="str">
        <f>IF(E21="","",(E21))</f>
        <v/>
      </c>
      <c r="O21" s="189"/>
      <c r="P21" s="190" t="str">
        <f>IF(G21="","",(G21))</f>
        <v/>
      </c>
    </row>
    <row r="22" spans="1:16" ht="18" customHeight="1" thickTop="1" thickBot="1">
      <c r="A22" s="85"/>
      <c r="B22" s="10" t="s">
        <v>2363</v>
      </c>
      <c r="C22" s="8"/>
      <c r="D22" s="105"/>
      <c r="E22" s="191">
        <f>TRUNC(+E20*E21)</f>
        <v>0</v>
      </c>
      <c r="F22" s="111"/>
      <c r="G22" s="191">
        <f>TRUNC(+G20*G21)</f>
        <v>0</v>
      </c>
      <c r="J22" s="85"/>
      <c r="K22" s="10" t="s">
        <v>2363</v>
      </c>
      <c r="L22" s="8"/>
      <c r="M22" s="105"/>
      <c r="N22" s="199" t="str">
        <f>IF(E22=0,"",(E22))</f>
        <v/>
      </c>
      <c r="O22" s="111"/>
      <c r="P22" s="199" t="str">
        <f>IF(G22=0,"",(G22))</f>
        <v/>
      </c>
    </row>
    <row r="23" spans="1:16" ht="12.95" customHeight="1" thickTop="1">
      <c r="A23" s="85"/>
      <c r="B23" s="8"/>
      <c r="C23" s="8"/>
      <c r="D23" s="105"/>
      <c r="E23" s="111"/>
      <c r="F23" s="111"/>
      <c r="G23" s="111"/>
      <c r="J23" s="85"/>
      <c r="K23" s="8"/>
      <c r="L23" s="8"/>
      <c r="M23" s="105"/>
      <c r="N23" s="111"/>
      <c r="O23" s="111"/>
      <c r="P23" s="111"/>
    </row>
    <row r="24" spans="1:16" ht="18" customHeight="1" thickBot="1">
      <c r="A24" s="85"/>
      <c r="B24" s="10" t="s">
        <v>609</v>
      </c>
      <c r="C24" s="8"/>
      <c r="D24" s="105"/>
      <c r="E24" s="179"/>
      <c r="F24" s="107"/>
      <c r="G24" s="179"/>
      <c r="J24" s="85"/>
      <c r="K24" s="10" t="s">
        <v>609</v>
      </c>
      <c r="L24" s="8"/>
      <c r="M24" s="105"/>
      <c r="N24" s="180" t="str">
        <f>IF(E24="","",(E24))</f>
        <v/>
      </c>
      <c r="O24" s="107"/>
      <c r="P24" s="180" t="str">
        <f>IF(G24="","",(G24))</f>
        <v/>
      </c>
    </row>
    <row r="25" spans="1:16" ht="18" customHeight="1" thickTop="1" thickBot="1">
      <c r="A25" s="85"/>
      <c r="B25" s="10" t="s">
        <v>610</v>
      </c>
      <c r="C25" s="8"/>
      <c r="D25" s="105"/>
      <c r="E25" s="188"/>
      <c r="F25" s="189"/>
      <c r="G25" s="188"/>
      <c r="J25" s="85"/>
      <c r="K25" s="10" t="s">
        <v>610</v>
      </c>
      <c r="L25" s="8"/>
      <c r="M25" s="105"/>
      <c r="N25" s="190" t="str">
        <f>IF(E25="","",(E25))</f>
        <v/>
      </c>
      <c r="O25" s="189"/>
      <c r="P25" s="190" t="str">
        <f>IF(G25="","",(G25))</f>
        <v/>
      </c>
    </row>
    <row r="26" spans="1:16" ht="18" customHeight="1" thickTop="1" thickBot="1">
      <c r="A26" s="85"/>
      <c r="B26" s="10" t="s">
        <v>2364</v>
      </c>
      <c r="C26" s="8"/>
      <c r="D26" s="105"/>
      <c r="E26" s="191">
        <f>TRUNC(+E24*E25)</f>
        <v>0</v>
      </c>
      <c r="F26" s="111"/>
      <c r="G26" s="191">
        <f>TRUNC(+G24*G25)</f>
        <v>0</v>
      </c>
      <c r="J26" s="85"/>
      <c r="K26" s="10" t="s">
        <v>2364</v>
      </c>
      <c r="L26" s="8"/>
      <c r="M26" s="105"/>
      <c r="N26" s="199" t="str">
        <f>IF(E26=0,"",(E26))</f>
        <v/>
      </c>
      <c r="O26" s="111"/>
      <c r="P26" s="199" t="str">
        <f>IF(G26=0,"",(G26))</f>
        <v/>
      </c>
    </row>
    <row r="27" spans="1:16" ht="12.95" customHeight="1" thickTop="1">
      <c r="A27" s="85"/>
      <c r="B27" s="8"/>
      <c r="C27" s="8"/>
      <c r="D27" s="105"/>
      <c r="E27" s="111"/>
      <c r="F27" s="111"/>
      <c r="G27" s="111"/>
      <c r="J27" s="85"/>
      <c r="K27" s="8"/>
      <c r="L27" s="8"/>
      <c r="M27" s="105"/>
      <c r="N27" s="111"/>
      <c r="O27" s="111"/>
      <c r="P27" s="111"/>
    </row>
    <row r="28" spans="1:16" ht="18" customHeight="1" thickBot="1">
      <c r="A28" s="85"/>
      <c r="B28" s="10" t="s">
        <v>611</v>
      </c>
      <c r="C28" s="8"/>
      <c r="D28" s="105"/>
      <c r="E28" s="179"/>
      <c r="F28" s="107"/>
      <c r="G28" s="179"/>
      <c r="J28" s="85"/>
      <c r="K28" s="10" t="s">
        <v>611</v>
      </c>
      <c r="L28" s="8"/>
      <c r="M28" s="105"/>
      <c r="N28" s="180" t="str">
        <f>IF(E28="","",(E28))</f>
        <v/>
      </c>
      <c r="O28" s="107"/>
      <c r="P28" s="180" t="str">
        <f>IF(G28="","",(G28))</f>
        <v/>
      </c>
    </row>
    <row r="29" spans="1:16" ht="18" customHeight="1" thickTop="1" thickBot="1">
      <c r="A29" s="85"/>
      <c r="B29" s="10" t="s">
        <v>612</v>
      </c>
      <c r="C29" s="8"/>
      <c r="D29" s="105"/>
      <c r="E29" s="188"/>
      <c r="F29" s="189"/>
      <c r="G29" s="188"/>
      <c r="J29" s="85"/>
      <c r="K29" s="10" t="s">
        <v>612</v>
      </c>
      <c r="L29" s="8"/>
      <c r="M29" s="105"/>
      <c r="N29" s="190" t="str">
        <f>IF(E29="","",(E29))</f>
        <v/>
      </c>
      <c r="O29" s="189"/>
      <c r="P29" s="190" t="str">
        <f>IF(G29="","",(G29))</f>
        <v/>
      </c>
    </row>
    <row r="30" spans="1:16" ht="18" customHeight="1" thickTop="1" thickBot="1">
      <c r="A30" s="85"/>
      <c r="B30" s="10" t="s">
        <v>2365</v>
      </c>
      <c r="C30" s="8"/>
      <c r="D30" s="105"/>
      <c r="E30" s="191">
        <f>TRUNC(+E28*E29)</f>
        <v>0</v>
      </c>
      <c r="F30" s="111"/>
      <c r="G30" s="191">
        <f>TRUNC(+G28*G29)</f>
        <v>0</v>
      </c>
      <c r="J30" s="85"/>
      <c r="K30" s="10" t="s">
        <v>2365</v>
      </c>
      <c r="L30" s="8"/>
      <c r="M30" s="105"/>
      <c r="N30" s="199" t="str">
        <f>IF(E30=0,"",(E30))</f>
        <v/>
      </c>
      <c r="O30" s="111"/>
      <c r="P30" s="199" t="str">
        <f>IF(G30=0,"",(G30))</f>
        <v/>
      </c>
    </row>
    <row r="31" spans="1:16" ht="12.95" customHeight="1" thickTop="1">
      <c r="A31" s="85"/>
      <c r="B31" s="8"/>
      <c r="C31" s="8"/>
      <c r="D31" s="105"/>
      <c r="E31" s="111"/>
      <c r="F31" s="111"/>
      <c r="G31" s="111"/>
      <c r="J31" s="85"/>
      <c r="K31" s="8"/>
      <c r="L31" s="8"/>
      <c r="M31" s="105"/>
      <c r="N31" s="111"/>
      <c r="O31" s="111"/>
      <c r="P31" s="111"/>
    </row>
    <row r="32" spans="1:16" ht="18" customHeight="1" thickBot="1">
      <c r="A32" s="85"/>
      <c r="B32" s="10" t="s">
        <v>613</v>
      </c>
      <c r="C32" s="8"/>
      <c r="D32" s="105"/>
      <c r="E32" s="179"/>
      <c r="F32" s="107"/>
      <c r="G32" s="179"/>
      <c r="J32" s="85"/>
      <c r="K32" s="10" t="s">
        <v>613</v>
      </c>
      <c r="L32" s="8"/>
      <c r="M32" s="105"/>
      <c r="N32" s="180" t="str">
        <f>IF(E32="","",(E32))</f>
        <v/>
      </c>
      <c r="O32" s="107"/>
      <c r="P32" s="180" t="str">
        <f>IF(G32="","",(G32))</f>
        <v/>
      </c>
    </row>
    <row r="33" spans="1:28" ht="18" customHeight="1" thickTop="1" thickBot="1">
      <c r="A33" s="85"/>
      <c r="B33" s="10" t="s">
        <v>614</v>
      </c>
      <c r="C33" s="8"/>
      <c r="D33" s="105"/>
      <c r="E33" s="188"/>
      <c r="F33" s="189"/>
      <c r="G33" s="188"/>
      <c r="J33" s="85"/>
      <c r="K33" s="10" t="s">
        <v>614</v>
      </c>
      <c r="L33" s="8"/>
      <c r="M33" s="105"/>
      <c r="N33" s="190" t="str">
        <f>IF(E33="","",(E33))</f>
        <v/>
      </c>
      <c r="O33" s="189"/>
      <c r="P33" s="190" t="str">
        <f>IF(G33="","",(G33))</f>
        <v/>
      </c>
    </row>
    <row r="34" spans="1:28" ht="18" customHeight="1" thickTop="1" thickBot="1">
      <c r="A34" s="85"/>
      <c r="B34" s="10" t="s">
        <v>2358</v>
      </c>
      <c r="C34" s="8"/>
      <c r="D34" s="105"/>
      <c r="E34" s="191">
        <f>TRUNC(+E32*E33)</f>
        <v>0</v>
      </c>
      <c r="F34" s="111"/>
      <c r="G34" s="191">
        <f>TRUNC(+G32*G33)</f>
        <v>0</v>
      </c>
      <c r="J34" s="85"/>
      <c r="K34" s="10" t="s">
        <v>2358</v>
      </c>
      <c r="L34" s="8"/>
      <c r="M34" s="105"/>
      <c r="N34" s="199" t="str">
        <f>IF(E34=0,"",(E34))</f>
        <v/>
      </c>
      <c r="O34" s="111"/>
      <c r="P34" s="199" t="str">
        <f>IF(G34=0,"",(G34))</f>
        <v/>
      </c>
    </row>
    <row r="35" spans="1:28" ht="12.95" customHeight="1" thickTop="1">
      <c r="A35" s="85"/>
      <c r="B35" s="8"/>
      <c r="C35" s="8"/>
      <c r="D35" s="105"/>
      <c r="E35" s="111"/>
      <c r="F35" s="111"/>
      <c r="G35" s="111"/>
      <c r="J35" s="85"/>
      <c r="K35" s="8"/>
      <c r="L35" s="8"/>
      <c r="M35" s="105"/>
      <c r="N35" s="111"/>
      <c r="O35" s="111"/>
      <c r="P35" s="111"/>
    </row>
    <row r="36" spans="1:28" ht="18" customHeight="1" thickBot="1">
      <c r="A36" s="85"/>
      <c r="B36" s="10" t="s">
        <v>615</v>
      </c>
      <c r="C36" s="8"/>
      <c r="D36" s="105"/>
      <c r="E36" s="179"/>
      <c r="F36" s="107"/>
      <c r="G36" s="179"/>
      <c r="J36" s="85"/>
      <c r="K36" s="10" t="s">
        <v>615</v>
      </c>
      <c r="L36" s="8"/>
      <c r="M36" s="105"/>
      <c r="N36" s="180" t="str">
        <f>IF(E36="","",(E36))</f>
        <v/>
      </c>
      <c r="O36" s="107"/>
      <c r="P36" s="180" t="str">
        <f>IF(G36="","",(G36))</f>
        <v/>
      </c>
    </row>
    <row r="37" spans="1:28" ht="18" customHeight="1" thickTop="1" thickBot="1">
      <c r="A37" s="85"/>
      <c r="B37" s="10" t="s">
        <v>616</v>
      </c>
      <c r="C37" s="8"/>
      <c r="D37" s="105"/>
      <c r="E37" s="188"/>
      <c r="F37" s="189"/>
      <c r="G37" s="188"/>
      <c r="J37" s="85"/>
      <c r="K37" s="10" t="s">
        <v>616</v>
      </c>
      <c r="L37" s="8"/>
      <c r="M37" s="105"/>
      <c r="N37" s="190" t="str">
        <f>IF(E37="","",(E37))</f>
        <v/>
      </c>
      <c r="O37" s="189"/>
      <c r="P37" s="190" t="str">
        <f>IF(G37="","",(G37))</f>
        <v/>
      </c>
    </row>
    <row r="38" spans="1:28" ht="18" customHeight="1" thickTop="1" thickBot="1">
      <c r="A38" s="85"/>
      <c r="B38" s="10" t="s">
        <v>2359</v>
      </c>
      <c r="C38" s="8"/>
      <c r="D38" s="105"/>
      <c r="E38" s="191">
        <f>TRUNC(+E36*E37)</f>
        <v>0</v>
      </c>
      <c r="F38" s="111"/>
      <c r="G38" s="191">
        <f>TRUNC(+G36*G37)</f>
        <v>0</v>
      </c>
      <c r="J38" s="85"/>
      <c r="K38" s="10" t="s">
        <v>2359</v>
      </c>
      <c r="L38" s="8"/>
      <c r="M38" s="105"/>
      <c r="N38" s="199" t="str">
        <f>IF(E38=0,"",(E38))</f>
        <v/>
      </c>
      <c r="O38" s="111"/>
      <c r="P38" s="199" t="str">
        <f>IF(G38=0,"",(G38))</f>
        <v/>
      </c>
    </row>
    <row r="39" spans="1:28" ht="12.95" customHeight="1" thickTop="1">
      <c r="A39" s="85"/>
      <c r="B39" s="8"/>
      <c r="C39" s="8"/>
      <c r="D39" s="105"/>
      <c r="E39" s="111"/>
      <c r="F39" s="111"/>
      <c r="G39" s="111"/>
      <c r="J39" s="85"/>
      <c r="K39" s="8"/>
      <c r="L39" s="8"/>
      <c r="M39" s="105"/>
      <c r="N39" s="111"/>
      <c r="O39" s="111"/>
      <c r="P39" s="111"/>
    </row>
    <row r="40" spans="1:28" ht="18" customHeight="1" thickBot="1">
      <c r="A40" s="85"/>
      <c r="B40" s="10" t="s">
        <v>617</v>
      </c>
      <c r="C40" s="8"/>
      <c r="D40" s="105"/>
      <c r="E40" s="179"/>
      <c r="F40" s="107"/>
      <c r="G40" s="179"/>
      <c r="J40" s="85"/>
      <c r="K40" s="10" t="s">
        <v>617</v>
      </c>
      <c r="L40" s="8"/>
      <c r="M40" s="105"/>
      <c r="N40" s="180" t="str">
        <f>IF(E40="","",(E40))</f>
        <v/>
      </c>
      <c r="O40" s="107"/>
      <c r="P40" s="180" t="str">
        <f>IF(G40="","",(G40))</f>
        <v/>
      </c>
    </row>
    <row r="41" spans="1:28" ht="18" customHeight="1" thickTop="1" thickBot="1">
      <c r="A41" s="85"/>
      <c r="B41" s="10" t="s">
        <v>618</v>
      </c>
      <c r="C41" s="8"/>
      <c r="D41" s="105"/>
      <c r="E41" s="188"/>
      <c r="F41" s="189"/>
      <c r="G41" s="188"/>
      <c r="J41" s="85"/>
      <c r="K41" s="10" t="s">
        <v>618</v>
      </c>
      <c r="L41" s="8"/>
      <c r="M41" s="105"/>
      <c r="N41" s="190" t="str">
        <f>IF(E41="","",(E41))</f>
        <v/>
      </c>
      <c r="O41" s="189"/>
      <c r="P41" s="190" t="str">
        <f>IF(G41="","",(G41))</f>
        <v/>
      </c>
    </row>
    <row r="42" spans="1:28" ht="18" customHeight="1" thickTop="1" thickBot="1">
      <c r="A42" s="85"/>
      <c r="B42" s="10" t="s">
        <v>2360</v>
      </c>
      <c r="C42" s="8"/>
      <c r="D42" s="105"/>
      <c r="E42" s="191">
        <f>TRUNC(+E40*E41)</f>
        <v>0</v>
      </c>
      <c r="F42" s="111"/>
      <c r="G42" s="191">
        <f>TRUNC(+G40*G41)</f>
        <v>0</v>
      </c>
      <c r="J42" s="85"/>
      <c r="K42" s="10" t="s">
        <v>2360</v>
      </c>
      <c r="L42" s="8"/>
      <c r="M42" s="105"/>
      <c r="N42" s="199" t="str">
        <f>IF(E42=0,"",(E42))</f>
        <v/>
      </c>
      <c r="O42" s="111"/>
      <c r="P42" s="199" t="str">
        <f>IF(G42=0,"",(G42))</f>
        <v/>
      </c>
    </row>
    <row r="43" spans="1:28" ht="12.95" customHeight="1" thickTop="1">
      <c r="A43" s="85"/>
      <c r="B43" s="8"/>
      <c r="C43" s="8"/>
      <c r="D43" s="105"/>
      <c r="E43" s="111"/>
      <c r="F43" s="111"/>
      <c r="G43" s="111"/>
      <c r="J43" s="85"/>
      <c r="K43" s="8"/>
      <c r="L43" s="8"/>
      <c r="M43" s="105"/>
      <c r="N43" s="111"/>
      <c r="O43" s="111"/>
      <c r="P43" s="111"/>
    </row>
    <row r="44" spans="1:28">
      <c r="A44" s="40"/>
      <c r="B44" s="40"/>
      <c r="C44" s="40"/>
      <c r="D44" s="40"/>
      <c r="E44" s="40"/>
      <c r="F44" s="40"/>
      <c r="G44" s="40"/>
      <c r="J44" s="40"/>
      <c r="K44" s="40"/>
      <c r="L44" s="40"/>
      <c r="M44" s="40"/>
      <c r="N44" s="40"/>
      <c r="O44" s="40"/>
      <c r="P44" s="40"/>
      <c r="Q44" s="41"/>
      <c r="R44" s="40"/>
      <c r="S44" s="40"/>
      <c r="T44" s="40"/>
      <c r="U44" s="40"/>
      <c r="V44" s="40"/>
      <c r="W44" s="40"/>
      <c r="X44" s="40"/>
      <c r="Y44" s="40"/>
      <c r="Z44" s="40"/>
      <c r="AA44" s="40"/>
      <c r="AB44" s="40"/>
    </row>
    <row r="45" spans="1:28">
      <c r="A45" s="40"/>
      <c r="B45" s="40"/>
      <c r="C45" s="40"/>
      <c r="D45" s="40"/>
      <c r="E45" s="40"/>
      <c r="F45" s="40"/>
      <c r="G45" s="40"/>
      <c r="J45" s="40"/>
      <c r="K45" s="40"/>
      <c r="L45" s="40"/>
      <c r="M45" s="40"/>
      <c r="N45" s="40"/>
      <c r="O45" s="40"/>
      <c r="P45" s="40"/>
      <c r="Q45" s="41"/>
      <c r="R45" s="40"/>
      <c r="S45" s="40"/>
      <c r="T45" s="40"/>
      <c r="U45" s="40"/>
      <c r="V45" s="40"/>
      <c r="W45" s="40"/>
      <c r="X45" s="40"/>
      <c r="Y45" s="40"/>
      <c r="Z45" s="40"/>
      <c r="AA45" s="40"/>
      <c r="AB45" s="40"/>
    </row>
    <row r="46" spans="1:28">
      <c r="A46" s="40"/>
      <c r="B46" s="40"/>
      <c r="C46" s="40"/>
      <c r="D46" s="40"/>
      <c r="E46" s="40"/>
      <c r="F46" s="40"/>
      <c r="G46" s="40"/>
      <c r="J46" s="40"/>
      <c r="K46" s="40"/>
      <c r="L46" s="40"/>
      <c r="M46" s="40"/>
      <c r="N46" s="40"/>
      <c r="O46" s="40"/>
      <c r="P46" s="40"/>
      <c r="Q46" s="41"/>
      <c r="R46" s="40"/>
      <c r="S46" s="40"/>
      <c r="T46" s="40"/>
      <c r="U46" s="40"/>
      <c r="V46" s="40"/>
      <c r="W46" s="40"/>
      <c r="X46" s="40"/>
      <c r="Y46" s="40"/>
      <c r="Z46" s="40"/>
      <c r="AA46" s="40"/>
      <c r="AB46" s="40"/>
    </row>
    <row r="47" spans="1:28">
      <c r="A47" s="40"/>
      <c r="B47" s="40"/>
      <c r="C47" s="40"/>
      <c r="D47" s="40"/>
      <c r="E47" s="40"/>
      <c r="F47" s="40"/>
      <c r="G47" s="40"/>
      <c r="J47" s="40"/>
      <c r="K47" s="40"/>
      <c r="L47" s="40"/>
      <c r="M47" s="40"/>
      <c r="N47" s="40"/>
      <c r="O47" s="40"/>
      <c r="P47" s="40"/>
      <c r="Q47" s="41"/>
      <c r="R47" s="40"/>
      <c r="S47" s="40"/>
      <c r="T47" s="40"/>
      <c r="U47" s="40"/>
      <c r="V47" s="40"/>
      <c r="W47" s="40"/>
      <c r="X47" s="40"/>
      <c r="Y47" s="40"/>
      <c r="Z47" s="40"/>
      <c r="AA47" s="40"/>
      <c r="AB47" s="40"/>
    </row>
    <row r="48" spans="1:28">
      <c r="A48" s="40"/>
      <c r="B48" s="40"/>
      <c r="C48" s="40"/>
      <c r="D48" s="40"/>
      <c r="E48" s="40"/>
      <c r="F48" s="40"/>
      <c r="G48" s="40"/>
      <c r="J48" s="40"/>
      <c r="K48" s="40"/>
      <c r="L48" s="40"/>
      <c r="M48" s="40"/>
      <c r="N48" s="40"/>
      <c r="O48" s="40"/>
      <c r="P48" s="40"/>
      <c r="Q48" s="41"/>
      <c r="R48" s="40"/>
      <c r="S48" s="40"/>
      <c r="T48" s="40"/>
      <c r="U48" s="40"/>
      <c r="V48" s="40"/>
      <c r="W48" s="40"/>
      <c r="X48" s="40"/>
      <c r="Y48" s="40"/>
      <c r="Z48" s="40"/>
      <c r="AA48" s="40"/>
      <c r="AB48" s="40"/>
    </row>
    <row r="49" spans="9:17" s="40" customFormat="1">
      <c r="I49" s="41"/>
      <c r="Q49" s="41"/>
    </row>
    <row r="50" spans="9:17" s="40" customFormat="1">
      <c r="I50" s="41"/>
      <c r="Q50" s="41"/>
    </row>
    <row r="51" spans="9:17" s="40" customFormat="1">
      <c r="I51" s="41"/>
      <c r="Q51" s="41"/>
    </row>
    <row r="52" spans="9:17" s="40" customFormat="1">
      <c r="I52" s="41"/>
      <c r="Q52" s="41"/>
    </row>
    <row r="53" spans="9:17" s="40" customFormat="1">
      <c r="I53" s="41"/>
      <c r="Q53" s="41"/>
    </row>
    <row r="54" spans="9:17" s="40" customFormat="1">
      <c r="I54" s="41"/>
      <c r="Q54" s="41"/>
    </row>
    <row r="55" spans="9:17" s="40" customFormat="1">
      <c r="I55" s="41"/>
      <c r="Q55" s="41"/>
    </row>
    <row r="56" spans="9:17" s="40" customFormat="1">
      <c r="I56" s="41"/>
      <c r="Q56" s="41"/>
    </row>
    <row r="57" spans="9:17" s="40" customFormat="1">
      <c r="I57" s="41"/>
      <c r="Q57" s="41"/>
    </row>
    <row r="58" spans="9:17" s="40" customFormat="1">
      <c r="I58" s="41"/>
      <c r="Q58" s="41"/>
    </row>
    <row r="59" spans="9:17" s="40" customFormat="1">
      <c r="I59" s="41"/>
      <c r="Q59" s="41"/>
    </row>
    <row r="60" spans="9:17" s="40" customFormat="1">
      <c r="I60" s="41"/>
      <c r="Q60" s="41"/>
    </row>
    <row r="61" spans="9:17" s="40" customFormat="1">
      <c r="I61" s="41"/>
      <c r="Q61" s="41"/>
    </row>
    <row r="62" spans="9:17" s="40" customFormat="1">
      <c r="I62" s="41"/>
      <c r="Q62" s="41"/>
    </row>
    <row r="63" spans="9:17" s="40" customFormat="1">
      <c r="I63" s="41"/>
      <c r="Q63" s="41"/>
    </row>
    <row r="64" spans="9:17" s="40" customFormat="1">
      <c r="I64" s="41"/>
      <c r="Q64" s="41"/>
    </row>
    <row r="65" spans="1:33">
      <c r="A65" s="40"/>
      <c r="B65" s="40"/>
      <c r="C65" s="40"/>
      <c r="D65" s="40"/>
      <c r="E65" s="40"/>
      <c r="J65" s="40"/>
      <c r="K65" s="40"/>
      <c r="L65" s="40"/>
      <c r="M65" s="40"/>
      <c r="N65" s="40"/>
      <c r="U65" s="195"/>
      <c r="V65" s="195"/>
    </row>
    <row r="66" spans="1:33" ht="20.100000000000001" customHeight="1">
      <c r="A66" s="40"/>
      <c r="B66" s="40"/>
      <c r="C66" s="40"/>
      <c r="D66" s="40"/>
      <c r="E66" s="40"/>
      <c r="G66" s="40"/>
      <c r="J66" s="40"/>
      <c r="K66" s="40"/>
      <c r="L66" s="40"/>
      <c r="M66" s="40"/>
      <c r="N66" s="40"/>
      <c r="P66" s="40"/>
      <c r="Q66" s="200"/>
      <c r="U66" s="195"/>
      <c r="V66" s="195"/>
    </row>
    <row r="67" spans="1:33" ht="20.100000000000001" customHeight="1">
      <c r="A67" s="40"/>
      <c r="B67" s="40"/>
      <c r="C67" s="40"/>
      <c r="D67" s="40"/>
      <c r="E67" s="40"/>
      <c r="G67" s="40"/>
      <c r="J67" s="40"/>
      <c r="K67" s="40"/>
      <c r="L67" s="40"/>
      <c r="M67" s="40"/>
      <c r="N67" s="40"/>
      <c r="P67" s="40"/>
      <c r="Q67" s="27"/>
      <c r="U67" s="195"/>
      <c r="V67" s="195"/>
    </row>
    <row r="68" spans="1:33" ht="20.100000000000001" customHeight="1">
      <c r="A68" s="40"/>
      <c r="B68" s="40"/>
      <c r="C68" s="40"/>
      <c r="D68" s="40"/>
      <c r="E68" s="40"/>
      <c r="G68" s="40"/>
      <c r="J68" s="40"/>
      <c r="K68" s="40"/>
      <c r="L68" s="40"/>
      <c r="M68" s="40"/>
      <c r="N68" s="40"/>
      <c r="P68" s="40"/>
      <c r="Q68" s="27"/>
      <c r="U68" s="195"/>
      <c r="V68" s="195"/>
    </row>
    <row r="69" spans="1:33" ht="20.100000000000001" customHeight="1">
      <c r="A69" s="40"/>
      <c r="B69" s="40"/>
      <c r="C69" s="40"/>
      <c r="D69" s="40"/>
      <c r="E69" s="40"/>
      <c r="G69" s="40"/>
      <c r="J69" s="40"/>
      <c r="K69" s="40"/>
      <c r="L69" s="40"/>
      <c r="M69" s="40"/>
      <c r="N69" s="40"/>
      <c r="P69" s="40"/>
      <c r="Q69" s="27"/>
      <c r="U69" s="195"/>
      <c r="V69" s="195"/>
    </row>
    <row r="70" spans="1:33" ht="20.100000000000001" customHeight="1">
      <c r="A70" s="40"/>
      <c r="B70" s="40"/>
      <c r="C70" s="40"/>
      <c r="D70" s="40"/>
      <c r="E70" s="40"/>
      <c r="G70" s="40"/>
      <c r="J70" s="40"/>
      <c r="K70" s="40"/>
      <c r="L70" s="40"/>
      <c r="M70" s="40"/>
      <c r="N70" s="40"/>
      <c r="P70" s="40"/>
      <c r="Q70" s="27"/>
      <c r="U70" s="195"/>
      <c r="V70" s="195"/>
    </row>
    <row r="71" spans="1:33" ht="20.100000000000001" customHeight="1">
      <c r="A71" s="40"/>
      <c r="B71" s="40"/>
      <c r="C71" s="40"/>
      <c r="D71" s="40"/>
      <c r="E71" s="40"/>
      <c r="G71" s="40"/>
      <c r="J71" s="40"/>
      <c r="K71" s="40"/>
      <c r="L71" s="40"/>
      <c r="M71" s="40"/>
      <c r="N71" s="40"/>
      <c r="P71" s="40"/>
      <c r="Q71" s="27"/>
      <c r="U71" s="195"/>
      <c r="V71" s="195"/>
    </row>
    <row r="72" spans="1:33" ht="20.100000000000001" customHeight="1">
      <c r="A72" s="40"/>
      <c r="B72" s="40"/>
      <c r="C72" s="40"/>
      <c r="D72" s="40"/>
      <c r="E72" s="40"/>
      <c r="G72" s="40"/>
      <c r="J72" s="40"/>
      <c r="K72" s="40"/>
      <c r="L72" s="40"/>
      <c r="M72" s="40"/>
      <c r="N72" s="40"/>
      <c r="P72" s="40"/>
      <c r="Q72" s="27"/>
      <c r="U72" s="195"/>
      <c r="V72" s="195"/>
    </row>
    <row r="73" spans="1:33" s="4" customFormat="1" ht="20.100000000000001" customHeight="1">
      <c r="A73" s="40"/>
      <c r="B73" s="40"/>
      <c r="C73" s="40"/>
      <c r="D73" s="40"/>
      <c r="E73" s="40"/>
      <c r="G73" s="40"/>
      <c r="I73" s="6"/>
      <c r="J73" s="40"/>
      <c r="K73" s="40"/>
      <c r="L73" s="40"/>
      <c r="M73" s="40"/>
      <c r="N73" s="40"/>
      <c r="P73" s="40"/>
      <c r="Q73" s="27"/>
      <c r="U73" s="195"/>
      <c r="V73" s="195"/>
      <c r="AC73" s="40"/>
      <c r="AD73" s="40"/>
      <c r="AE73" s="40"/>
      <c r="AF73" s="40"/>
      <c r="AG73" s="40"/>
    </row>
    <row r="74" spans="1:33" s="4" customFormat="1" ht="20.100000000000001" customHeight="1">
      <c r="A74" s="40"/>
      <c r="B74" s="40"/>
      <c r="C74" s="40"/>
      <c r="D74" s="40"/>
      <c r="E74" s="40"/>
      <c r="G74" s="40"/>
      <c r="I74" s="6"/>
      <c r="J74" s="40"/>
      <c r="K74" s="40"/>
      <c r="L74" s="40"/>
      <c r="M74" s="40"/>
      <c r="N74" s="40"/>
      <c r="P74" s="40"/>
      <c r="Q74" s="27"/>
      <c r="U74" s="195"/>
      <c r="V74" s="195"/>
      <c r="AC74" s="40"/>
      <c r="AD74" s="40"/>
      <c r="AE74" s="40"/>
      <c r="AF74" s="40"/>
      <c r="AG74" s="40"/>
    </row>
    <row r="75" spans="1:33" s="4" customFormat="1" ht="20.100000000000001" customHeight="1">
      <c r="A75" s="40"/>
      <c r="B75" s="40"/>
      <c r="C75" s="40"/>
      <c r="D75" s="40"/>
      <c r="E75" s="40"/>
      <c r="G75" s="40"/>
      <c r="I75" s="6"/>
      <c r="J75" s="40"/>
      <c r="K75" s="40"/>
      <c r="L75" s="40"/>
      <c r="M75" s="40"/>
      <c r="N75" s="40"/>
      <c r="P75" s="40"/>
      <c r="Q75" s="27"/>
      <c r="U75" s="195"/>
      <c r="V75" s="195"/>
      <c r="AC75" s="40"/>
      <c r="AD75" s="40"/>
      <c r="AE75" s="40"/>
      <c r="AF75" s="40"/>
      <c r="AG75" s="40"/>
    </row>
    <row r="76" spans="1:33" s="4" customFormat="1" ht="20.100000000000001" customHeight="1">
      <c r="A76" s="40"/>
      <c r="B76" s="40"/>
      <c r="C76" s="40"/>
      <c r="D76" s="40"/>
      <c r="E76" s="40"/>
      <c r="I76" s="6"/>
      <c r="J76" s="40"/>
      <c r="K76" s="40"/>
      <c r="L76" s="40"/>
      <c r="M76" s="40"/>
      <c r="N76" s="40"/>
      <c r="Q76" s="6"/>
      <c r="AC76" s="40"/>
      <c r="AD76" s="40"/>
      <c r="AE76" s="40"/>
      <c r="AF76" s="40"/>
      <c r="AG76" s="40"/>
    </row>
    <row r="77" spans="1:33" s="4" customFormat="1">
      <c r="A77" s="40"/>
      <c r="B77" s="40"/>
      <c r="C77" s="40"/>
      <c r="D77" s="40"/>
      <c r="E77" s="40"/>
      <c r="I77" s="6"/>
      <c r="J77" s="40"/>
      <c r="K77" s="40"/>
      <c r="L77" s="40"/>
      <c r="M77" s="40"/>
      <c r="N77" s="40"/>
      <c r="Q77" s="6"/>
      <c r="AC77" s="40"/>
      <c r="AD77" s="40"/>
      <c r="AE77" s="40"/>
      <c r="AF77" s="40"/>
      <c r="AG77" s="40"/>
    </row>
    <row r="78" spans="1:33" s="4" customFormat="1">
      <c r="A78" s="40"/>
      <c r="B78" s="40"/>
      <c r="C78" s="40"/>
      <c r="D78" s="40"/>
      <c r="E78" s="40"/>
      <c r="I78" s="6"/>
      <c r="J78" s="40"/>
      <c r="K78" s="40"/>
      <c r="L78" s="40"/>
      <c r="M78" s="40"/>
      <c r="N78" s="40"/>
      <c r="Q78" s="6"/>
      <c r="AC78" s="40"/>
      <c r="AD78" s="40"/>
      <c r="AE78" s="40"/>
      <c r="AF78" s="40"/>
      <c r="AG78" s="40"/>
    </row>
    <row r="79" spans="1:33" s="4" customFormat="1">
      <c r="A79" s="40"/>
      <c r="B79" s="40"/>
      <c r="C79" s="40"/>
      <c r="D79" s="40"/>
      <c r="E79" s="40"/>
      <c r="I79" s="6"/>
      <c r="J79" s="40"/>
      <c r="K79" s="40"/>
      <c r="L79" s="40"/>
      <c r="M79" s="40"/>
      <c r="N79" s="40"/>
      <c r="Q79" s="6"/>
      <c r="AC79" s="40"/>
      <c r="AD79" s="40"/>
      <c r="AE79" s="40"/>
      <c r="AF79" s="40"/>
      <c r="AG79" s="40"/>
    </row>
    <row r="80" spans="1:33" s="4" customFormat="1">
      <c r="A80" s="40"/>
      <c r="B80" s="40"/>
      <c r="C80" s="40"/>
      <c r="D80" s="40"/>
      <c r="E80" s="40"/>
      <c r="I80" s="6"/>
      <c r="J80" s="40"/>
      <c r="K80" s="40"/>
      <c r="L80" s="40"/>
      <c r="M80" s="40"/>
      <c r="N80" s="40"/>
      <c r="Q80" s="6"/>
      <c r="AC80" s="40"/>
      <c r="AD80" s="40"/>
      <c r="AE80" s="40"/>
      <c r="AF80" s="40"/>
      <c r="AG80" s="40"/>
    </row>
    <row r="81" spans="1:33" s="4" customFormat="1">
      <c r="A81" s="40"/>
      <c r="B81" s="40"/>
      <c r="C81" s="40"/>
      <c r="D81" s="40"/>
      <c r="E81" s="40"/>
      <c r="I81" s="6"/>
      <c r="J81" s="40"/>
      <c r="K81" s="40"/>
      <c r="L81" s="40"/>
      <c r="M81" s="40"/>
      <c r="N81" s="40"/>
      <c r="Q81" s="6"/>
      <c r="AC81" s="40"/>
      <c r="AD81" s="40"/>
      <c r="AE81" s="40"/>
      <c r="AF81" s="40"/>
      <c r="AG81" s="40"/>
    </row>
    <row r="82" spans="1:33" s="4" customFormat="1">
      <c r="A82" s="40"/>
      <c r="B82" s="40"/>
      <c r="C82" s="40"/>
      <c r="D82" s="40"/>
      <c r="E82" s="40"/>
      <c r="F82" s="40"/>
      <c r="G82" s="7"/>
      <c r="I82" s="6"/>
      <c r="J82" s="40"/>
      <c r="K82" s="40"/>
      <c r="L82" s="40"/>
      <c r="M82" s="40"/>
      <c r="N82" s="40"/>
      <c r="O82" s="40"/>
      <c r="P82" s="196"/>
      <c r="Q82" s="201"/>
      <c r="R82" s="197"/>
      <c r="AC82" s="40"/>
      <c r="AD82" s="40"/>
      <c r="AE82" s="40"/>
      <c r="AF82" s="40"/>
      <c r="AG82" s="40"/>
    </row>
    <row r="83" spans="1:33" s="4" customFormat="1">
      <c r="A83" s="40"/>
      <c r="B83" s="40"/>
      <c r="C83" s="40"/>
      <c r="D83" s="40"/>
      <c r="E83" s="40"/>
      <c r="F83" s="40"/>
      <c r="I83" s="6"/>
      <c r="J83" s="40"/>
      <c r="K83" s="40"/>
      <c r="L83" s="40"/>
      <c r="M83" s="40"/>
      <c r="N83" s="40"/>
      <c r="O83" s="40"/>
      <c r="Q83" s="6"/>
      <c r="AC83" s="40"/>
      <c r="AD83" s="40"/>
      <c r="AE83" s="40"/>
      <c r="AF83" s="40"/>
      <c r="AG83" s="40"/>
    </row>
    <row r="84" spans="1:33" s="4" customFormat="1">
      <c r="A84" s="40"/>
      <c r="B84" s="40"/>
      <c r="C84" s="40"/>
      <c r="D84" s="40"/>
      <c r="E84" s="40"/>
      <c r="F84" s="40"/>
      <c r="G84" s="40"/>
      <c r="I84" s="6"/>
      <c r="J84" s="40"/>
      <c r="K84" s="40"/>
      <c r="L84" s="40"/>
      <c r="M84" s="40"/>
      <c r="N84" s="40"/>
      <c r="O84" s="40"/>
      <c r="P84" s="40"/>
      <c r="Q84" s="6"/>
      <c r="AC84" s="40"/>
      <c r="AD84" s="40"/>
      <c r="AE84" s="40"/>
      <c r="AF84" s="40"/>
      <c r="AG84" s="40"/>
    </row>
    <row r="85" spans="1:33" s="4" customFormat="1">
      <c r="A85" s="40"/>
      <c r="B85" s="40"/>
      <c r="C85" s="40"/>
      <c r="D85" s="40"/>
      <c r="E85" s="40"/>
      <c r="F85" s="40"/>
      <c r="G85" s="40"/>
      <c r="I85" s="6"/>
      <c r="J85" s="40"/>
      <c r="K85" s="40"/>
      <c r="L85" s="40"/>
      <c r="M85" s="40"/>
      <c r="N85" s="40"/>
      <c r="O85" s="40"/>
      <c r="P85" s="40"/>
      <c r="Q85" s="6"/>
      <c r="AC85" s="40"/>
      <c r="AD85" s="40"/>
      <c r="AE85" s="40"/>
      <c r="AF85" s="40"/>
      <c r="AG85" s="40"/>
    </row>
    <row r="86" spans="1:33" s="4" customFormat="1">
      <c r="A86" s="40"/>
      <c r="B86" s="40"/>
      <c r="C86" s="40"/>
      <c r="D86" s="40"/>
      <c r="E86" s="40"/>
      <c r="F86" s="40"/>
      <c r="G86" s="40"/>
      <c r="I86" s="6"/>
      <c r="J86" s="40"/>
      <c r="K86" s="40"/>
      <c r="L86" s="40"/>
      <c r="M86" s="40"/>
      <c r="N86" s="40"/>
      <c r="O86" s="40"/>
      <c r="P86" s="40"/>
      <c r="Q86" s="6"/>
      <c r="AC86" s="40"/>
      <c r="AD86" s="40"/>
      <c r="AE86" s="40"/>
      <c r="AF86" s="40"/>
      <c r="AG86" s="40"/>
    </row>
    <row r="87" spans="1:33" s="4" customFormat="1">
      <c r="A87" s="40"/>
      <c r="B87" s="40"/>
      <c r="C87" s="40"/>
      <c r="D87" s="40"/>
      <c r="E87" s="40"/>
      <c r="F87" s="40"/>
      <c r="G87" s="40"/>
      <c r="I87" s="6"/>
      <c r="J87" s="40"/>
      <c r="K87" s="40"/>
      <c r="L87" s="40"/>
      <c r="M87" s="40"/>
      <c r="N87" s="40"/>
      <c r="O87" s="40"/>
      <c r="P87" s="40"/>
      <c r="Q87" s="6"/>
      <c r="AC87" s="40"/>
      <c r="AD87" s="40"/>
      <c r="AE87" s="40"/>
      <c r="AF87" s="40"/>
      <c r="AG87" s="40"/>
    </row>
    <row r="88" spans="1:33" s="4" customFormat="1">
      <c r="A88" s="40"/>
      <c r="B88" s="40"/>
      <c r="C88" s="40"/>
      <c r="D88" s="40"/>
      <c r="E88" s="40"/>
      <c r="F88" s="40"/>
      <c r="G88" s="40"/>
      <c r="I88" s="6"/>
      <c r="J88" s="40"/>
      <c r="K88" s="40"/>
      <c r="L88" s="40"/>
      <c r="M88" s="40"/>
      <c r="N88" s="40"/>
      <c r="O88" s="40"/>
      <c r="P88" s="40"/>
      <c r="Q88" s="6"/>
      <c r="AC88" s="40"/>
      <c r="AD88" s="40"/>
      <c r="AE88" s="40"/>
      <c r="AF88" s="40"/>
      <c r="AG88" s="40"/>
    </row>
    <row r="89" spans="1:33" s="4" customFormat="1">
      <c r="A89" s="40"/>
      <c r="B89" s="40"/>
      <c r="C89" s="40"/>
      <c r="D89" s="40"/>
      <c r="E89" s="40"/>
      <c r="F89" s="40"/>
      <c r="G89" s="40"/>
      <c r="I89" s="6"/>
      <c r="J89" s="40"/>
      <c r="K89" s="40"/>
      <c r="L89" s="40"/>
      <c r="M89" s="40"/>
      <c r="N89" s="40"/>
      <c r="O89" s="40"/>
      <c r="P89" s="40"/>
      <c r="Q89" s="6"/>
      <c r="AC89" s="40"/>
      <c r="AD89" s="40"/>
      <c r="AE89" s="40"/>
      <c r="AF89" s="40"/>
      <c r="AG89" s="40"/>
    </row>
    <row r="90" spans="1:33" s="4" customFormat="1">
      <c r="A90" s="40"/>
      <c r="B90" s="40"/>
      <c r="C90" s="40"/>
      <c r="D90" s="40"/>
      <c r="E90" s="40"/>
      <c r="F90" s="40"/>
      <c r="G90" s="40"/>
      <c r="I90" s="6"/>
      <c r="J90" s="40"/>
      <c r="K90" s="40"/>
      <c r="L90" s="40"/>
      <c r="M90" s="40"/>
      <c r="N90" s="40"/>
      <c r="O90" s="40"/>
      <c r="P90" s="40"/>
      <c r="Q90" s="6"/>
      <c r="AC90" s="40"/>
      <c r="AD90" s="40"/>
      <c r="AE90" s="40"/>
      <c r="AF90" s="40"/>
      <c r="AG90" s="40"/>
    </row>
    <row r="91" spans="1:33" s="4" customFormat="1">
      <c r="A91" s="40"/>
      <c r="B91" s="40"/>
      <c r="C91" s="40"/>
      <c r="D91" s="40"/>
      <c r="E91" s="40"/>
      <c r="F91" s="40"/>
      <c r="G91" s="40"/>
      <c r="I91" s="6"/>
      <c r="J91" s="40"/>
      <c r="K91" s="40"/>
      <c r="L91" s="40"/>
      <c r="M91" s="40"/>
      <c r="N91" s="40"/>
      <c r="O91" s="40"/>
      <c r="P91" s="40"/>
      <c r="Q91" s="6"/>
      <c r="AC91" s="40"/>
      <c r="AD91" s="40"/>
      <c r="AE91" s="40"/>
      <c r="AF91" s="40"/>
      <c r="AG91" s="40"/>
    </row>
    <row r="92" spans="1:33" s="4" customFormat="1">
      <c r="A92" s="40"/>
      <c r="B92" s="40"/>
      <c r="C92" s="40"/>
      <c r="D92" s="40"/>
      <c r="E92" s="40"/>
      <c r="F92" s="40"/>
      <c r="G92" s="40"/>
      <c r="I92" s="6"/>
      <c r="J92" s="40"/>
      <c r="K92" s="40"/>
      <c r="L92" s="40"/>
      <c r="M92" s="40"/>
      <c r="N92" s="40"/>
      <c r="O92" s="40"/>
      <c r="P92" s="40"/>
      <c r="Q92" s="6"/>
      <c r="AC92" s="40"/>
      <c r="AD92" s="40"/>
      <c r="AE92" s="40"/>
      <c r="AF92" s="40"/>
      <c r="AG92" s="40"/>
    </row>
    <row r="93" spans="1:33" s="4" customFormat="1">
      <c r="A93" s="40"/>
      <c r="B93" s="40"/>
      <c r="C93" s="40"/>
      <c r="D93" s="40"/>
      <c r="E93" s="40"/>
      <c r="F93" s="40"/>
      <c r="G93" s="40"/>
      <c r="I93" s="6"/>
      <c r="J93" s="40"/>
      <c r="K93" s="40"/>
      <c r="L93" s="40"/>
      <c r="M93" s="40"/>
      <c r="N93" s="40"/>
      <c r="O93" s="40"/>
      <c r="P93" s="40"/>
      <c r="Q93" s="6"/>
      <c r="AC93" s="40"/>
      <c r="AD93" s="40"/>
      <c r="AE93" s="40"/>
      <c r="AF93" s="40"/>
      <c r="AG93" s="40"/>
    </row>
    <row r="94" spans="1:33" s="4" customFormat="1">
      <c r="A94" s="40"/>
      <c r="B94" s="40"/>
      <c r="C94" s="40"/>
      <c r="D94" s="40"/>
      <c r="E94" s="40"/>
      <c r="F94" s="40"/>
      <c r="G94" s="40"/>
      <c r="I94" s="6"/>
      <c r="J94" s="40"/>
      <c r="K94" s="40"/>
      <c r="L94" s="40"/>
      <c r="M94" s="40"/>
      <c r="N94" s="40"/>
      <c r="O94" s="40"/>
      <c r="P94" s="40"/>
      <c r="Q94" s="6"/>
      <c r="AC94" s="40"/>
      <c r="AD94" s="40"/>
      <c r="AE94" s="40"/>
      <c r="AF94" s="40"/>
      <c r="AG94" s="40"/>
    </row>
    <row r="95" spans="1:33" s="4" customFormat="1">
      <c r="A95" s="40"/>
      <c r="B95" s="40"/>
      <c r="C95" s="40"/>
      <c r="D95" s="40"/>
      <c r="E95" s="40"/>
      <c r="F95" s="40"/>
      <c r="G95" s="40"/>
      <c r="I95" s="6"/>
      <c r="J95" s="40"/>
      <c r="K95" s="40"/>
      <c r="L95" s="40"/>
      <c r="M95" s="40"/>
      <c r="N95" s="40"/>
      <c r="O95" s="40"/>
      <c r="P95" s="40"/>
      <c r="Q95" s="6"/>
      <c r="AC95" s="40"/>
      <c r="AD95" s="40"/>
      <c r="AE95" s="40"/>
      <c r="AF95" s="40"/>
      <c r="AG95" s="40"/>
    </row>
    <row r="96" spans="1:33" s="4" customFormat="1">
      <c r="A96" s="40"/>
      <c r="B96" s="40"/>
      <c r="C96" s="40"/>
      <c r="D96" s="40"/>
      <c r="E96" s="40"/>
      <c r="F96" s="40"/>
      <c r="G96" s="40"/>
      <c r="I96" s="6"/>
      <c r="J96" s="40"/>
      <c r="K96" s="40"/>
      <c r="L96" s="40"/>
      <c r="M96" s="40"/>
      <c r="N96" s="40"/>
      <c r="O96" s="40"/>
      <c r="P96" s="40"/>
      <c r="Q96" s="6"/>
      <c r="AC96" s="40"/>
      <c r="AD96" s="40"/>
      <c r="AE96" s="40"/>
      <c r="AF96" s="40"/>
      <c r="AG96" s="40"/>
    </row>
    <row r="97" spans="1:33" s="4" customFormat="1">
      <c r="A97" s="40"/>
      <c r="B97" s="40"/>
      <c r="C97" s="40"/>
      <c r="D97" s="40"/>
      <c r="E97" s="40"/>
      <c r="F97" s="40"/>
      <c r="G97" s="40"/>
      <c r="I97" s="6"/>
      <c r="J97" s="40"/>
      <c r="K97" s="40"/>
      <c r="L97" s="40"/>
      <c r="M97" s="40"/>
      <c r="N97" s="40"/>
      <c r="O97" s="40"/>
      <c r="P97" s="40"/>
      <c r="Q97" s="6"/>
      <c r="AC97" s="40"/>
      <c r="AD97" s="40"/>
      <c r="AE97" s="40"/>
      <c r="AF97" s="40"/>
      <c r="AG97" s="40"/>
    </row>
    <row r="98" spans="1:33" s="4" customFormat="1">
      <c r="A98" s="40"/>
      <c r="B98" s="40"/>
      <c r="C98" s="40"/>
      <c r="D98" s="40"/>
      <c r="E98" s="40"/>
      <c r="F98" s="40"/>
      <c r="G98" s="40"/>
      <c r="I98" s="6"/>
      <c r="J98" s="40"/>
      <c r="K98" s="40"/>
      <c r="L98" s="40"/>
      <c r="M98" s="40"/>
      <c r="N98" s="40"/>
      <c r="O98" s="40"/>
      <c r="P98" s="40"/>
      <c r="Q98" s="6"/>
      <c r="AC98" s="40"/>
      <c r="AD98" s="40"/>
      <c r="AE98" s="40"/>
      <c r="AF98" s="40"/>
      <c r="AG98" s="40"/>
    </row>
    <row r="99" spans="1:33" s="4" customFormat="1">
      <c r="A99" s="40"/>
      <c r="B99" s="40"/>
      <c r="C99" s="40"/>
      <c r="D99" s="40"/>
      <c r="E99" s="40"/>
      <c r="F99" s="40"/>
      <c r="G99" s="40"/>
      <c r="I99" s="6"/>
      <c r="J99" s="40"/>
      <c r="K99" s="40"/>
      <c r="L99" s="40"/>
      <c r="M99" s="40"/>
      <c r="N99" s="40"/>
      <c r="O99" s="40"/>
      <c r="P99" s="40"/>
      <c r="Q99" s="6"/>
      <c r="AC99" s="40"/>
      <c r="AD99" s="40"/>
      <c r="AE99" s="40"/>
      <c r="AF99" s="40"/>
      <c r="AG99" s="40"/>
    </row>
    <row r="100" spans="1:33" s="4" customFormat="1">
      <c r="A100" s="40"/>
      <c r="B100" s="40"/>
      <c r="C100" s="40"/>
      <c r="D100" s="40"/>
      <c r="E100" s="40"/>
      <c r="F100" s="40"/>
      <c r="G100" s="40"/>
      <c r="I100" s="6"/>
      <c r="J100" s="40"/>
      <c r="K100" s="40"/>
      <c r="L100" s="40"/>
      <c r="M100" s="40"/>
      <c r="N100" s="40"/>
      <c r="O100" s="40"/>
      <c r="P100" s="40"/>
      <c r="Q100" s="6"/>
      <c r="AC100" s="40"/>
      <c r="AD100" s="40"/>
      <c r="AE100" s="40"/>
      <c r="AF100" s="40"/>
      <c r="AG100" s="40"/>
    </row>
    <row r="101" spans="1:33" s="4" customFormat="1">
      <c r="A101" s="40"/>
      <c r="B101" s="40"/>
      <c r="C101" s="40"/>
      <c r="D101" s="40"/>
      <c r="E101" s="40"/>
      <c r="F101" s="40"/>
      <c r="G101" s="40"/>
      <c r="I101" s="6"/>
      <c r="J101" s="40"/>
      <c r="K101" s="40"/>
      <c r="L101" s="40"/>
      <c r="M101" s="40"/>
      <c r="N101" s="40"/>
      <c r="O101" s="40"/>
      <c r="P101" s="40"/>
      <c r="Q101" s="6"/>
      <c r="AC101" s="40"/>
      <c r="AD101" s="40"/>
      <c r="AE101" s="40"/>
      <c r="AF101" s="40"/>
      <c r="AG101" s="40"/>
    </row>
    <row r="159" spans="9:17" s="4" customFormat="1">
      <c r="I159" s="6"/>
      <c r="Q159" s="6"/>
    </row>
    <row r="160" spans="9:17" s="4" customFormat="1">
      <c r="I160" s="6"/>
      <c r="Q160" s="6"/>
    </row>
    <row r="161" spans="9:17" s="4" customFormat="1">
      <c r="I161" s="6"/>
      <c r="Q161" s="6"/>
    </row>
    <row r="162" spans="9:17" s="4" customFormat="1">
      <c r="I162" s="6"/>
      <c r="Q162" s="6"/>
    </row>
    <row r="163" spans="9:17" s="4" customFormat="1">
      <c r="I163" s="6"/>
      <c r="Q163" s="6"/>
    </row>
    <row r="164" spans="9:17" s="4" customFormat="1">
      <c r="I164" s="6"/>
      <c r="Q164" s="6"/>
    </row>
    <row r="165" spans="9:17" s="4" customFormat="1">
      <c r="I165" s="6"/>
      <c r="Q165" s="6"/>
    </row>
    <row r="166" spans="9:17" s="4" customFormat="1">
      <c r="I166" s="6"/>
      <c r="Q166" s="6"/>
    </row>
    <row r="167" spans="9:17" s="4" customFormat="1">
      <c r="I167" s="6"/>
      <c r="Q167" s="6"/>
    </row>
    <row r="168" spans="9:17" s="4" customFormat="1">
      <c r="I168" s="6"/>
      <c r="Q168" s="6"/>
    </row>
  </sheetData>
  <sheetProtection algorithmName="SHA-512" hashValue="Vti5Y3Y1knTL7NYLUB1TJp20aynf+gRnaw8PnStRVuEfh5xjmJvEFDNnf6EucoItWK+R+RXTDjZWnU70lPBWWg==" saltValue="XK1/0mFBVHVD8yebQpaw+Q==" spinCount="100000" sheet="1" objects="1" scenarios="1"/>
  <mergeCells count="4">
    <mergeCell ref="J3:P3"/>
    <mergeCell ref="K9:K10"/>
    <mergeCell ref="A3:G3"/>
    <mergeCell ref="B9:B10"/>
  </mergeCell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AG165"/>
  <sheetViews>
    <sheetView workbookViewId="0"/>
  </sheetViews>
  <sheetFormatPr defaultColWidth="11.42578125" defaultRowHeight="12.75"/>
  <cols>
    <col min="1" max="1" width="4.140625" style="4" customWidth="1"/>
    <col min="2" max="2" width="60.7109375" style="4" customWidth="1"/>
    <col min="3" max="4" width="2.7109375" style="4" customWidth="1"/>
    <col min="5" max="5" width="15.7109375" style="4" customWidth="1"/>
    <col min="6" max="6" width="2.7109375" style="4" customWidth="1"/>
    <col min="7" max="7" width="15.7109375" style="4" customWidth="1"/>
    <col min="8" max="8" width="11.42578125" style="40"/>
    <col min="9" max="9" width="5.7109375" style="41" customWidth="1"/>
    <col min="10" max="10" width="4.140625" style="4" hidden="1" customWidth="1"/>
    <col min="11" max="11" width="60.7109375" style="4" hidden="1" customWidth="1"/>
    <col min="12" max="13" width="2.7109375" style="4" hidden="1" customWidth="1"/>
    <col min="14" max="14" width="15.7109375" style="4" hidden="1" customWidth="1"/>
    <col min="15" max="15" width="2.7109375" style="4" hidden="1" customWidth="1"/>
    <col min="16" max="16" width="15.7109375" style="4" hidden="1" customWidth="1"/>
    <col min="17" max="17" width="5.7109375" style="6" customWidth="1"/>
    <col min="18" max="28" width="10.7109375" style="4" customWidth="1"/>
    <col min="29" max="16384" width="11.42578125" style="40"/>
  </cols>
  <sheetData>
    <row r="1" spans="1:28">
      <c r="A1" s="1302" t="str">
        <f>IF('FORM 1040-1'!D15="","",'FORM 1040-1'!D15)</f>
        <v/>
      </c>
      <c r="B1" s="1303"/>
      <c r="C1" s="1303"/>
      <c r="D1" s="1303"/>
      <c r="E1" s="1303"/>
      <c r="F1" s="1303"/>
      <c r="G1" s="1294" t="str">
        <f>IF('FORM 1040-1'!$E$12="","",'FORM 1040-1'!$E$12)</f>
        <v/>
      </c>
      <c r="J1" s="814"/>
      <c r="K1" s="814"/>
      <c r="L1" s="814"/>
      <c r="M1" s="814"/>
      <c r="N1" s="814"/>
      <c r="O1" s="814"/>
      <c r="P1" s="814"/>
      <c r="R1" s="814"/>
      <c r="S1" s="814"/>
      <c r="T1" s="814"/>
      <c r="U1" s="814"/>
      <c r="V1" s="814"/>
      <c r="W1" s="814"/>
      <c r="X1" s="814"/>
      <c r="Y1" s="814"/>
      <c r="Z1" s="814"/>
      <c r="AA1" s="814"/>
      <c r="AB1" s="814"/>
    </row>
    <row r="2" spans="1:28">
      <c r="A2" s="814"/>
      <c r="B2" s="814"/>
      <c r="C2" s="814"/>
      <c r="D2" s="814"/>
      <c r="E2" s="814"/>
      <c r="F2" s="814"/>
      <c r="G2" s="814"/>
      <c r="J2" s="814"/>
      <c r="K2" s="814"/>
      <c r="L2" s="814"/>
      <c r="M2" s="814"/>
      <c r="N2" s="814"/>
      <c r="O2" s="814"/>
      <c r="P2" s="814"/>
      <c r="R2" s="814"/>
      <c r="S2" s="814"/>
      <c r="T2" s="814"/>
      <c r="U2" s="814"/>
      <c r="V2" s="814"/>
      <c r="W2" s="814"/>
      <c r="X2" s="814"/>
      <c r="Y2" s="814"/>
      <c r="Z2" s="814"/>
      <c r="AA2" s="814"/>
      <c r="AB2" s="814"/>
    </row>
    <row r="3" spans="1:28" ht="15.75" customHeight="1">
      <c r="A3" s="1704" t="s">
        <v>2307</v>
      </c>
      <c r="B3" s="1704"/>
      <c r="C3" s="1704"/>
      <c r="D3" s="1704"/>
      <c r="E3" s="1704"/>
      <c r="F3" s="1704"/>
      <c r="G3" s="1704"/>
      <c r="J3" s="1672" t="s">
        <v>1494</v>
      </c>
      <c r="K3" s="1672"/>
      <c r="L3" s="1672"/>
      <c r="M3" s="1672"/>
      <c r="N3" s="1672"/>
      <c r="O3" s="1672"/>
      <c r="P3" s="1672"/>
      <c r="Q3" s="102"/>
      <c r="R3" s="103"/>
    </row>
    <row r="4" spans="1:28" ht="12.95" customHeight="1">
      <c r="A4" s="12"/>
      <c r="D4" s="105"/>
      <c r="E4" s="105"/>
      <c r="F4" s="105"/>
      <c r="G4" s="105"/>
      <c r="J4" s="12"/>
      <c r="M4" s="105"/>
      <c r="N4" s="105"/>
      <c r="O4" s="105"/>
      <c r="P4" s="105"/>
    </row>
    <row r="5" spans="1:28">
      <c r="A5" s="12" t="s">
        <v>140</v>
      </c>
      <c r="B5" s="4" t="s">
        <v>2411</v>
      </c>
      <c r="D5" s="105"/>
      <c r="E5" s="107"/>
      <c r="F5" s="107"/>
      <c r="G5" s="107"/>
      <c r="J5" s="12" t="s">
        <v>140</v>
      </c>
      <c r="K5" s="4" t="s">
        <v>602</v>
      </c>
      <c r="M5" s="105"/>
      <c r="N5" s="107"/>
      <c r="O5" s="107"/>
      <c r="P5" s="107"/>
    </row>
    <row r="6" spans="1:28" ht="12.95" customHeight="1" thickBot="1">
      <c r="D6" s="105"/>
      <c r="E6" s="105"/>
      <c r="F6" s="105"/>
      <c r="G6" s="105"/>
      <c r="M6" s="105"/>
      <c r="N6" s="105"/>
      <c r="O6" s="105"/>
      <c r="P6" s="105"/>
    </row>
    <row r="7" spans="1:28" ht="14.1" customHeight="1" thickTop="1">
      <c r="B7" s="198"/>
      <c r="C7" s="108"/>
      <c r="D7" s="105"/>
      <c r="E7" s="109" t="str">
        <f>"(A)"</f>
        <v>(A)</v>
      </c>
      <c r="F7" s="12"/>
      <c r="G7" s="46" t="s">
        <v>397</v>
      </c>
      <c r="K7" s="198"/>
      <c r="L7" s="108"/>
      <c r="M7" s="105"/>
      <c r="N7" s="109" t="str">
        <f>"(A)"</f>
        <v>(A)</v>
      </c>
      <c r="O7" s="12"/>
      <c r="P7" s="46" t="s">
        <v>397</v>
      </c>
    </row>
    <row r="8" spans="1:28" ht="14.1" customHeight="1">
      <c r="B8" s="110" t="s">
        <v>98</v>
      </c>
      <c r="C8" s="108"/>
      <c r="D8" s="105"/>
      <c r="E8" s="110" t="s">
        <v>354</v>
      </c>
      <c r="G8" s="130"/>
      <c r="K8" s="110" t="s">
        <v>98</v>
      </c>
      <c r="L8" s="108"/>
      <c r="M8" s="105"/>
      <c r="N8" s="110" t="s">
        <v>354</v>
      </c>
      <c r="P8" s="130"/>
    </row>
    <row r="9" spans="1:28" ht="14.1" customHeight="1">
      <c r="B9" s="1743" t="s">
        <v>633</v>
      </c>
      <c r="C9" s="108"/>
      <c r="D9" s="105"/>
      <c r="E9" s="110" t="s">
        <v>355</v>
      </c>
      <c r="G9" s="130"/>
      <c r="K9" s="1743" t="s">
        <v>633</v>
      </c>
      <c r="L9" s="108"/>
      <c r="M9" s="105"/>
      <c r="N9" s="110" t="s">
        <v>355</v>
      </c>
      <c r="P9" s="130"/>
    </row>
    <row r="10" spans="1:28" ht="14.1" customHeight="1" thickBot="1">
      <c r="B10" s="1688"/>
      <c r="C10" s="108"/>
      <c r="D10" s="105"/>
      <c r="E10" s="51" t="s">
        <v>358</v>
      </c>
      <c r="F10" s="26"/>
      <c r="G10" s="51" t="s">
        <v>359</v>
      </c>
      <c r="K10" s="1688"/>
      <c r="L10" s="108"/>
      <c r="M10" s="105"/>
      <c r="N10" s="51" t="s">
        <v>358</v>
      </c>
      <c r="O10" s="26"/>
      <c r="P10" s="51" t="s">
        <v>359</v>
      </c>
    </row>
    <row r="11" spans="1:28" ht="12.95" customHeight="1" thickTop="1">
      <c r="A11" s="85"/>
      <c r="B11" s="8"/>
      <c r="C11" s="8"/>
      <c r="D11" s="105"/>
      <c r="E11" s="111"/>
      <c r="F11" s="111"/>
      <c r="G11" s="111"/>
      <c r="J11" s="85"/>
      <c r="K11" s="8"/>
      <c r="L11" s="8"/>
      <c r="M11" s="105"/>
      <c r="N11" s="111"/>
      <c r="O11" s="111"/>
      <c r="P11" s="111"/>
    </row>
    <row r="12" spans="1:28" ht="18" customHeight="1" thickBot="1">
      <c r="A12" s="85"/>
      <c r="B12" s="10" t="s">
        <v>619</v>
      </c>
      <c r="C12" s="8"/>
      <c r="D12" s="105"/>
      <c r="E12" s="179"/>
      <c r="F12" s="107"/>
      <c r="G12" s="179"/>
      <c r="J12" s="85"/>
      <c r="K12" s="10" t="s">
        <v>619</v>
      </c>
      <c r="L12" s="8"/>
      <c r="M12" s="105"/>
      <c r="N12" s="180" t="str">
        <f>IF(E12="","",(E12))</f>
        <v/>
      </c>
      <c r="O12" s="107"/>
      <c r="P12" s="180" t="str">
        <f>IF(G12="","",(G12))</f>
        <v/>
      </c>
    </row>
    <row r="13" spans="1:28" ht="18" customHeight="1" thickTop="1" thickBot="1">
      <c r="A13" s="85"/>
      <c r="B13" s="10" t="s">
        <v>620</v>
      </c>
      <c r="C13" s="8"/>
      <c r="D13" s="105"/>
      <c r="E13" s="188"/>
      <c r="F13" s="189"/>
      <c r="G13" s="188"/>
      <c r="J13" s="85"/>
      <c r="K13" s="10" t="s">
        <v>620</v>
      </c>
      <c r="L13" s="8"/>
      <c r="M13" s="105"/>
      <c r="N13" s="190" t="str">
        <f>IF(E13="","",(E13))</f>
        <v/>
      </c>
      <c r="O13" s="189"/>
      <c r="P13" s="190" t="str">
        <f>IF(G13="","",(G13))</f>
        <v/>
      </c>
    </row>
    <row r="14" spans="1:28" ht="18" customHeight="1" thickTop="1" thickBot="1">
      <c r="A14" s="85"/>
      <c r="B14" s="10" t="s">
        <v>2372</v>
      </c>
      <c r="C14" s="8"/>
      <c r="D14" s="105"/>
      <c r="E14" s="191">
        <f>TRUNC(+E12*E13)</f>
        <v>0</v>
      </c>
      <c r="F14" s="111"/>
      <c r="G14" s="191">
        <f>TRUNC(+G12*G13)</f>
        <v>0</v>
      </c>
      <c r="J14" s="85"/>
      <c r="K14" s="10" t="s">
        <v>2372</v>
      </c>
      <c r="L14" s="8"/>
      <c r="M14" s="105"/>
      <c r="N14" s="199" t="str">
        <f>IF(E14=0,"",(E14))</f>
        <v/>
      </c>
      <c r="O14" s="111"/>
      <c r="P14" s="199" t="str">
        <f>IF(G14=0,"",(G14))</f>
        <v/>
      </c>
    </row>
    <row r="15" spans="1:28" ht="12.95" customHeight="1" thickTop="1">
      <c r="A15" s="85"/>
      <c r="B15" s="8"/>
      <c r="C15" s="8"/>
      <c r="D15" s="105"/>
      <c r="E15" s="111"/>
      <c r="F15" s="111"/>
      <c r="G15" s="111"/>
      <c r="J15" s="85"/>
      <c r="K15" s="8"/>
      <c r="L15" s="8"/>
      <c r="M15" s="105"/>
      <c r="N15" s="111"/>
      <c r="O15" s="111"/>
      <c r="P15" s="111"/>
    </row>
    <row r="16" spans="1:28" ht="18" customHeight="1" thickBot="1">
      <c r="A16" s="85"/>
      <c r="B16" s="10" t="s">
        <v>621</v>
      </c>
      <c r="C16" s="8"/>
      <c r="D16" s="105"/>
      <c r="E16" s="179"/>
      <c r="F16" s="107"/>
      <c r="G16" s="179"/>
      <c r="J16" s="85"/>
      <c r="K16" s="10" t="s">
        <v>621</v>
      </c>
      <c r="L16" s="8"/>
      <c r="M16" s="105"/>
      <c r="N16" s="180" t="str">
        <f>IF(E16="","",(E16))</f>
        <v/>
      </c>
      <c r="O16" s="107"/>
      <c r="P16" s="180" t="str">
        <f>IF(G16="","",(G16))</f>
        <v/>
      </c>
    </row>
    <row r="17" spans="1:16" ht="18" customHeight="1" thickTop="1" thickBot="1">
      <c r="A17" s="85"/>
      <c r="B17" s="10" t="s">
        <v>622</v>
      </c>
      <c r="C17" s="8"/>
      <c r="D17" s="105"/>
      <c r="E17" s="188"/>
      <c r="F17" s="189"/>
      <c r="G17" s="188"/>
      <c r="J17" s="85"/>
      <c r="K17" s="10" t="s">
        <v>622</v>
      </c>
      <c r="L17" s="8"/>
      <c r="M17" s="105"/>
      <c r="N17" s="190" t="str">
        <f>IF(E17="","",(E17))</f>
        <v/>
      </c>
      <c r="O17" s="189"/>
      <c r="P17" s="190" t="str">
        <f>IF(G17="","",(G17))</f>
        <v/>
      </c>
    </row>
    <row r="18" spans="1:16" ht="18" customHeight="1" thickTop="1" thickBot="1">
      <c r="A18" s="85"/>
      <c r="B18" s="10" t="s">
        <v>2366</v>
      </c>
      <c r="C18" s="8"/>
      <c r="D18" s="105"/>
      <c r="E18" s="191">
        <f>TRUNC(+E16*E17)</f>
        <v>0</v>
      </c>
      <c r="F18" s="111"/>
      <c r="G18" s="191">
        <f>TRUNC(+G16*G17)</f>
        <v>0</v>
      </c>
      <c r="J18" s="85"/>
      <c r="K18" s="10" t="s">
        <v>2366</v>
      </c>
      <c r="L18" s="8"/>
      <c r="M18" s="105"/>
      <c r="N18" s="199" t="str">
        <f>IF(E18=0,"",(E18))</f>
        <v/>
      </c>
      <c r="O18" s="111"/>
      <c r="P18" s="199" t="str">
        <f>IF(G18=0,"",(G18))</f>
        <v/>
      </c>
    </row>
    <row r="19" spans="1:16" ht="12.95" customHeight="1" thickTop="1">
      <c r="A19" s="85"/>
      <c r="B19" s="8"/>
      <c r="C19" s="8"/>
      <c r="D19" s="105"/>
      <c r="E19" s="111"/>
      <c r="F19" s="111"/>
      <c r="G19" s="111"/>
      <c r="J19" s="85"/>
      <c r="K19" s="8"/>
      <c r="L19" s="8"/>
      <c r="M19" s="105"/>
      <c r="N19" s="111"/>
      <c r="O19" s="111"/>
      <c r="P19" s="111"/>
    </row>
    <row r="20" spans="1:16" ht="18" customHeight="1" thickBot="1">
      <c r="A20" s="85"/>
      <c r="B20" s="10" t="s">
        <v>623</v>
      </c>
      <c r="C20" s="8"/>
      <c r="D20" s="105"/>
      <c r="E20" s="179"/>
      <c r="F20" s="107"/>
      <c r="G20" s="179"/>
      <c r="J20" s="85"/>
      <c r="K20" s="10" t="s">
        <v>623</v>
      </c>
      <c r="L20" s="8"/>
      <c r="M20" s="105"/>
      <c r="N20" s="180" t="str">
        <f>IF(E20="","",(E20))</f>
        <v/>
      </c>
      <c r="O20" s="107"/>
      <c r="P20" s="180" t="str">
        <f>IF(G20="","",(G20))</f>
        <v/>
      </c>
    </row>
    <row r="21" spans="1:16" ht="18" customHeight="1" thickTop="1" thickBot="1">
      <c r="A21" s="85"/>
      <c r="B21" s="10" t="s">
        <v>624</v>
      </c>
      <c r="C21" s="8"/>
      <c r="D21" s="105"/>
      <c r="E21" s="188"/>
      <c r="F21" s="189"/>
      <c r="G21" s="188"/>
      <c r="J21" s="85"/>
      <c r="K21" s="10" t="s">
        <v>624</v>
      </c>
      <c r="L21" s="8"/>
      <c r="M21" s="105"/>
      <c r="N21" s="190" t="str">
        <f>IF(E21="","",(E21))</f>
        <v/>
      </c>
      <c r="O21" s="189"/>
      <c r="P21" s="190" t="str">
        <f>IF(G21="","",(G21))</f>
        <v/>
      </c>
    </row>
    <row r="22" spans="1:16" ht="18" customHeight="1" thickTop="1" thickBot="1">
      <c r="A22" s="85"/>
      <c r="B22" s="10" t="s">
        <v>2367</v>
      </c>
      <c r="C22" s="8"/>
      <c r="D22" s="105"/>
      <c r="E22" s="191">
        <f>TRUNC(+E20*E21)</f>
        <v>0</v>
      </c>
      <c r="F22" s="111"/>
      <c r="G22" s="191">
        <f>TRUNC(+G20*G21)</f>
        <v>0</v>
      </c>
      <c r="J22" s="85"/>
      <c r="K22" s="10" t="s">
        <v>2367</v>
      </c>
      <c r="L22" s="8"/>
      <c r="M22" s="105"/>
      <c r="N22" s="199" t="str">
        <f>IF(E22=0,"",(E22))</f>
        <v/>
      </c>
      <c r="O22" s="111"/>
      <c r="P22" s="199" t="str">
        <f>IF(G22=0,"",(G22))</f>
        <v/>
      </c>
    </row>
    <row r="23" spans="1:16" ht="12.95" customHeight="1" thickTop="1">
      <c r="A23" s="85"/>
      <c r="B23" s="8"/>
      <c r="C23" s="8"/>
      <c r="D23" s="105"/>
      <c r="E23" s="111"/>
      <c r="F23" s="111"/>
      <c r="G23" s="111"/>
      <c r="J23" s="85"/>
      <c r="K23" s="8"/>
      <c r="L23" s="8"/>
      <c r="M23" s="105"/>
      <c r="N23" s="111"/>
      <c r="O23" s="111"/>
      <c r="P23" s="111"/>
    </row>
    <row r="24" spans="1:16" ht="18" customHeight="1" thickBot="1">
      <c r="A24" s="85"/>
      <c r="B24" s="10" t="s">
        <v>625</v>
      </c>
      <c r="C24" s="8"/>
      <c r="D24" s="105"/>
      <c r="E24" s="179"/>
      <c r="F24" s="107"/>
      <c r="G24" s="179"/>
      <c r="J24" s="85"/>
      <c r="K24" s="10" t="s">
        <v>625</v>
      </c>
      <c r="L24" s="8"/>
      <c r="M24" s="105"/>
      <c r="N24" s="180" t="str">
        <f>IF(E24="","",(E24))</f>
        <v/>
      </c>
      <c r="O24" s="107"/>
      <c r="P24" s="180" t="str">
        <f>IF(G24="","",(G24))</f>
        <v/>
      </c>
    </row>
    <row r="25" spans="1:16" ht="18" customHeight="1" thickTop="1" thickBot="1">
      <c r="A25" s="85"/>
      <c r="B25" s="10" t="s">
        <v>626</v>
      </c>
      <c r="C25" s="8"/>
      <c r="D25" s="105"/>
      <c r="E25" s="188"/>
      <c r="F25" s="189"/>
      <c r="G25" s="188"/>
      <c r="J25" s="85"/>
      <c r="K25" s="10" t="s">
        <v>626</v>
      </c>
      <c r="L25" s="8"/>
      <c r="M25" s="105"/>
      <c r="N25" s="190" t="str">
        <f>IF(E25="","",(E25))</f>
        <v/>
      </c>
      <c r="O25" s="189"/>
      <c r="P25" s="190" t="str">
        <f>IF(G25="","",(G25))</f>
        <v/>
      </c>
    </row>
    <row r="26" spans="1:16" ht="18" customHeight="1" thickTop="1" thickBot="1">
      <c r="A26" s="85"/>
      <c r="B26" s="10" t="s">
        <v>2368</v>
      </c>
      <c r="C26" s="8"/>
      <c r="D26" s="105"/>
      <c r="E26" s="191">
        <f>TRUNC(+E24*E25)</f>
        <v>0</v>
      </c>
      <c r="F26" s="111"/>
      <c r="G26" s="191">
        <f>TRUNC(+G24*G25)</f>
        <v>0</v>
      </c>
      <c r="J26" s="85"/>
      <c r="K26" s="10" t="s">
        <v>2368</v>
      </c>
      <c r="L26" s="8"/>
      <c r="M26" s="105"/>
      <c r="N26" s="199" t="str">
        <f>IF(E26=0,"",(E26))</f>
        <v/>
      </c>
      <c r="O26" s="111"/>
      <c r="P26" s="199" t="str">
        <f>IF(G26=0,"",(G26))</f>
        <v/>
      </c>
    </row>
    <row r="27" spans="1:16" ht="12.95" customHeight="1" thickTop="1">
      <c r="A27" s="85"/>
      <c r="B27" s="8"/>
      <c r="C27" s="8"/>
      <c r="D27" s="105"/>
      <c r="E27" s="111"/>
      <c r="F27" s="111"/>
      <c r="G27" s="111"/>
      <c r="J27" s="85"/>
      <c r="K27" s="8"/>
      <c r="L27" s="8"/>
      <c r="M27" s="105"/>
      <c r="N27" s="111"/>
      <c r="O27" s="111"/>
      <c r="P27" s="111"/>
    </row>
    <row r="28" spans="1:16" ht="18" customHeight="1" thickBot="1">
      <c r="A28" s="85"/>
      <c r="B28" s="10" t="s">
        <v>627</v>
      </c>
      <c r="C28" s="8"/>
      <c r="D28" s="105"/>
      <c r="E28" s="179"/>
      <c r="F28" s="107"/>
      <c r="G28" s="179"/>
      <c r="J28" s="85"/>
      <c r="K28" s="10" t="s">
        <v>627</v>
      </c>
      <c r="L28" s="8"/>
      <c r="M28" s="105"/>
      <c r="N28" s="180" t="str">
        <f>IF(E28="","",(E28))</f>
        <v/>
      </c>
      <c r="O28" s="107"/>
      <c r="P28" s="180" t="str">
        <f>IF(G28="","",(G28))</f>
        <v/>
      </c>
    </row>
    <row r="29" spans="1:16" ht="18" customHeight="1" thickTop="1" thickBot="1">
      <c r="A29" s="85"/>
      <c r="B29" s="10" t="s">
        <v>628</v>
      </c>
      <c r="C29" s="8"/>
      <c r="D29" s="105"/>
      <c r="E29" s="188"/>
      <c r="F29" s="189"/>
      <c r="G29" s="188"/>
      <c r="J29" s="85"/>
      <c r="K29" s="10" t="s">
        <v>628</v>
      </c>
      <c r="L29" s="8"/>
      <c r="M29" s="105"/>
      <c r="N29" s="190" t="str">
        <f>IF(E29="","",(E29))</f>
        <v/>
      </c>
      <c r="O29" s="189"/>
      <c r="P29" s="190" t="str">
        <f>IF(G29="","",(G29))</f>
        <v/>
      </c>
    </row>
    <row r="30" spans="1:16" ht="18" customHeight="1" thickTop="1" thickBot="1">
      <c r="A30" s="85"/>
      <c r="B30" s="10" t="s">
        <v>2369</v>
      </c>
      <c r="C30" s="8"/>
      <c r="D30" s="105"/>
      <c r="E30" s="191">
        <f>TRUNC(+E28*E29)</f>
        <v>0</v>
      </c>
      <c r="F30" s="111"/>
      <c r="G30" s="191">
        <f>TRUNC(+G28*G29)</f>
        <v>0</v>
      </c>
      <c r="J30" s="85"/>
      <c r="K30" s="10" t="s">
        <v>2369</v>
      </c>
      <c r="L30" s="8"/>
      <c r="M30" s="105"/>
      <c r="N30" s="199" t="str">
        <f>IF(E30=0,"",(E30))</f>
        <v/>
      </c>
      <c r="O30" s="111"/>
      <c r="P30" s="199" t="str">
        <f>IF(G30=0,"",(G30))</f>
        <v/>
      </c>
    </row>
    <row r="31" spans="1:16" ht="12.95" customHeight="1" thickTop="1">
      <c r="A31" s="85"/>
      <c r="B31" s="8"/>
      <c r="C31" s="8"/>
      <c r="D31" s="105"/>
      <c r="E31" s="111"/>
      <c r="F31" s="111"/>
      <c r="G31" s="111"/>
      <c r="J31" s="85"/>
      <c r="K31" s="8"/>
      <c r="L31" s="8"/>
      <c r="M31" s="105"/>
      <c r="N31" s="111"/>
      <c r="O31" s="111"/>
      <c r="P31" s="111"/>
    </row>
    <row r="32" spans="1:16" ht="18" customHeight="1" thickBot="1">
      <c r="A32" s="85"/>
      <c r="B32" s="10" t="s">
        <v>629</v>
      </c>
      <c r="C32" s="8"/>
      <c r="D32" s="105"/>
      <c r="E32" s="179"/>
      <c r="F32" s="107"/>
      <c r="G32" s="179"/>
      <c r="J32" s="85"/>
      <c r="K32" s="10" t="s">
        <v>629</v>
      </c>
      <c r="L32" s="8"/>
      <c r="M32" s="105"/>
      <c r="N32" s="180" t="str">
        <f>IF(E32="","",(E32))</f>
        <v/>
      </c>
      <c r="O32" s="107"/>
      <c r="P32" s="180" t="str">
        <f>IF(G32="","",(G32))</f>
        <v/>
      </c>
    </row>
    <row r="33" spans="1:28" ht="18" customHeight="1" thickTop="1" thickBot="1">
      <c r="A33" s="85"/>
      <c r="B33" s="10" t="s">
        <v>630</v>
      </c>
      <c r="C33" s="8"/>
      <c r="D33" s="105"/>
      <c r="E33" s="188"/>
      <c r="F33" s="189"/>
      <c r="G33" s="188"/>
      <c r="J33" s="85"/>
      <c r="K33" s="10" t="s">
        <v>630</v>
      </c>
      <c r="L33" s="8"/>
      <c r="M33" s="105"/>
      <c r="N33" s="190" t="str">
        <f>IF(E33="","",(E33))</f>
        <v/>
      </c>
      <c r="O33" s="189"/>
      <c r="P33" s="190" t="str">
        <f>IF(G33="","",(G33))</f>
        <v/>
      </c>
    </row>
    <row r="34" spans="1:28" ht="18" customHeight="1" thickTop="1" thickBot="1">
      <c r="A34" s="85"/>
      <c r="B34" s="10" t="s">
        <v>2370</v>
      </c>
      <c r="C34" s="8"/>
      <c r="D34" s="105"/>
      <c r="E34" s="191">
        <f>TRUNC(+E32*E33)</f>
        <v>0</v>
      </c>
      <c r="F34" s="111"/>
      <c r="G34" s="191">
        <f>TRUNC(+G32*G33)</f>
        <v>0</v>
      </c>
      <c r="J34" s="85"/>
      <c r="K34" s="10" t="s">
        <v>2370</v>
      </c>
      <c r="L34" s="8"/>
      <c r="M34" s="105"/>
      <c r="N34" s="199" t="str">
        <f>IF(E34=0,"",(E34))</f>
        <v/>
      </c>
      <c r="O34" s="111"/>
      <c r="P34" s="199" t="str">
        <f>IF(G34=0,"",(G34))</f>
        <v/>
      </c>
    </row>
    <row r="35" spans="1:28" ht="12.95" customHeight="1" thickTop="1">
      <c r="A35" s="85"/>
      <c r="B35" s="8"/>
      <c r="C35" s="8"/>
      <c r="D35" s="105"/>
      <c r="E35" s="111"/>
      <c r="F35" s="111"/>
      <c r="G35" s="111"/>
      <c r="J35" s="85"/>
      <c r="K35" s="8"/>
      <c r="L35" s="8"/>
      <c r="M35" s="105"/>
      <c r="N35" s="111"/>
      <c r="O35" s="111"/>
      <c r="P35" s="111"/>
    </row>
    <row r="36" spans="1:28" ht="18" customHeight="1" thickBot="1">
      <c r="A36" s="85"/>
      <c r="B36" s="10" t="s">
        <v>631</v>
      </c>
      <c r="C36" s="8"/>
      <c r="D36" s="105"/>
      <c r="E36" s="179"/>
      <c r="F36" s="107"/>
      <c r="G36" s="179"/>
      <c r="J36" s="85"/>
      <c r="K36" s="10" t="s">
        <v>631</v>
      </c>
      <c r="L36" s="8"/>
      <c r="M36" s="105"/>
      <c r="N36" s="180" t="str">
        <f>IF(E36="","",(E36))</f>
        <v/>
      </c>
      <c r="O36" s="107"/>
      <c r="P36" s="180" t="str">
        <f>IF(G36="","",(G36))</f>
        <v/>
      </c>
    </row>
    <row r="37" spans="1:28" ht="18" customHeight="1" thickTop="1" thickBot="1">
      <c r="A37" s="85"/>
      <c r="B37" s="10" t="s">
        <v>632</v>
      </c>
      <c r="C37" s="8"/>
      <c r="D37" s="105"/>
      <c r="E37" s="188"/>
      <c r="F37" s="189"/>
      <c r="G37" s="188"/>
      <c r="J37" s="85"/>
      <c r="K37" s="10" t="s">
        <v>632</v>
      </c>
      <c r="L37" s="8"/>
      <c r="M37" s="105"/>
      <c r="N37" s="190" t="str">
        <f>IF(E37="","",(E37))</f>
        <v/>
      </c>
      <c r="O37" s="189"/>
      <c r="P37" s="190" t="str">
        <f>IF(G37="","",(G37))</f>
        <v/>
      </c>
    </row>
    <row r="38" spans="1:28" ht="18" customHeight="1" thickTop="1" thickBot="1">
      <c r="A38" s="85"/>
      <c r="B38" s="10" t="s">
        <v>2371</v>
      </c>
      <c r="C38" s="8"/>
      <c r="D38" s="105"/>
      <c r="E38" s="191">
        <f>TRUNC(+E36*E37)</f>
        <v>0</v>
      </c>
      <c r="F38" s="111"/>
      <c r="G38" s="191">
        <f>TRUNC(+G36*G37)</f>
        <v>0</v>
      </c>
      <c r="J38" s="85"/>
      <c r="K38" s="10" t="s">
        <v>2371</v>
      </c>
      <c r="L38" s="8"/>
      <c r="M38" s="105"/>
      <c r="N38" s="199" t="str">
        <f>IF(E38=0,"",(E38))</f>
        <v/>
      </c>
      <c r="O38" s="111"/>
      <c r="P38" s="199" t="str">
        <f>IF(G38=0,"",(G38))</f>
        <v/>
      </c>
    </row>
    <row r="39" spans="1:28" ht="12.95" customHeight="1" thickTop="1">
      <c r="A39" s="85"/>
      <c r="B39" s="8"/>
      <c r="C39" s="8"/>
      <c r="D39" s="105"/>
      <c r="E39" s="111"/>
      <c r="F39" s="111"/>
      <c r="G39" s="111"/>
      <c r="J39" s="85"/>
      <c r="K39" s="8"/>
      <c r="L39" s="8"/>
      <c r="M39" s="105"/>
      <c r="N39" s="111"/>
      <c r="O39" s="111"/>
      <c r="P39" s="111"/>
    </row>
    <row r="41" spans="1:28">
      <c r="A41" s="40"/>
      <c r="B41" s="40"/>
      <c r="C41" s="40"/>
      <c r="D41" s="40"/>
      <c r="E41" s="40"/>
      <c r="F41" s="40"/>
      <c r="G41" s="40"/>
      <c r="J41" s="40"/>
      <c r="K41" s="40"/>
      <c r="L41" s="40"/>
      <c r="M41" s="40"/>
      <c r="N41" s="40"/>
      <c r="O41" s="40"/>
      <c r="P41" s="40"/>
      <c r="Q41" s="41"/>
      <c r="R41" s="40"/>
      <c r="S41" s="40"/>
      <c r="T41" s="40"/>
      <c r="U41" s="40"/>
      <c r="V41" s="40"/>
      <c r="W41" s="40"/>
      <c r="X41" s="40"/>
      <c r="Y41" s="40"/>
      <c r="Z41" s="40"/>
      <c r="AA41" s="40"/>
      <c r="AB41" s="40"/>
    </row>
    <row r="42" spans="1:28">
      <c r="A42" s="40"/>
      <c r="B42" s="40"/>
      <c r="C42" s="40"/>
      <c r="D42" s="40"/>
      <c r="E42" s="40"/>
      <c r="F42" s="40"/>
      <c r="G42" s="40"/>
      <c r="J42" s="40"/>
      <c r="K42" s="40"/>
      <c r="L42" s="40"/>
      <c r="M42" s="40"/>
      <c r="N42" s="40"/>
      <c r="O42" s="40"/>
      <c r="P42" s="40"/>
      <c r="Q42" s="41"/>
      <c r="R42" s="40"/>
      <c r="S42" s="40"/>
      <c r="T42" s="40"/>
      <c r="U42" s="40"/>
      <c r="V42" s="40"/>
      <c r="W42" s="40"/>
      <c r="X42" s="40"/>
      <c r="Y42" s="40"/>
      <c r="Z42" s="40"/>
      <c r="AA42" s="40"/>
      <c r="AB42" s="40"/>
    </row>
    <row r="43" spans="1:28">
      <c r="A43" s="40"/>
      <c r="B43" s="40"/>
      <c r="C43" s="40"/>
      <c r="D43" s="40"/>
      <c r="E43" s="40"/>
      <c r="F43" s="40"/>
      <c r="G43" s="40"/>
      <c r="J43" s="40"/>
      <c r="K43" s="40"/>
      <c r="L43" s="40"/>
      <c r="M43" s="40"/>
      <c r="N43" s="40"/>
      <c r="O43" s="40"/>
      <c r="P43" s="40"/>
      <c r="Q43" s="41"/>
      <c r="R43" s="40"/>
      <c r="S43" s="40"/>
      <c r="T43" s="40"/>
      <c r="U43" s="40"/>
      <c r="V43" s="40"/>
      <c r="W43" s="40"/>
      <c r="X43" s="40"/>
      <c r="Y43" s="40"/>
      <c r="Z43" s="40"/>
      <c r="AA43" s="40"/>
      <c r="AB43" s="40"/>
    </row>
    <row r="44" spans="1:28">
      <c r="A44" s="40"/>
      <c r="B44" s="40"/>
      <c r="C44" s="40"/>
      <c r="D44" s="40"/>
      <c r="E44" s="40"/>
      <c r="F44" s="40"/>
      <c r="G44" s="40"/>
      <c r="J44" s="40"/>
      <c r="K44" s="40"/>
      <c r="L44" s="40"/>
      <c r="M44" s="40"/>
      <c r="N44" s="40"/>
      <c r="O44" s="40"/>
      <c r="P44" s="40"/>
      <c r="Q44" s="41"/>
      <c r="R44" s="40"/>
      <c r="S44" s="40"/>
      <c r="T44" s="40"/>
      <c r="U44" s="40"/>
      <c r="V44" s="40"/>
      <c r="W44" s="40"/>
      <c r="X44" s="40"/>
      <c r="Y44" s="40"/>
      <c r="Z44" s="40"/>
      <c r="AA44" s="40"/>
      <c r="AB44" s="40"/>
    </row>
    <row r="45" spans="1:28">
      <c r="A45" s="40"/>
      <c r="B45" s="40"/>
      <c r="C45" s="40"/>
      <c r="D45" s="40"/>
      <c r="E45" s="40"/>
      <c r="F45" s="40"/>
      <c r="G45" s="40"/>
      <c r="J45" s="40"/>
      <c r="K45" s="40"/>
      <c r="L45" s="40"/>
      <c r="M45" s="40"/>
      <c r="N45" s="40"/>
      <c r="O45" s="40"/>
      <c r="P45" s="40"/>
      <c r="Q45" s="41"/>
      <c r="R45" s="40"/>
      <c r="S45" s="40"/>
      <c r="T45" s="40"/>
      <c r="U45" s="40"/>
      <c r="V45" s="40"/>
      <c r="W45" s="40"/>
      <c r="X45" s="40"/>
      <c r="Y45" s="40"/>
      <c r="Z45" s="40"/>
      <c r="AA45" s="40"/>
      <c r="AB45" s="40"/>
    </row>
    <row r="46" spans="1:28">
      <c r="A46" s="40"/>
      <c r="B46" s="40"/>
      <c r="C46" s="40"/>
      <c r="D46" s="40"/>
      <c r="E46" s="40"/>
      <c r="F46" s="40"/>
      <c r="G46" s="40"/>
      <c r="J46" s="40"/>
      <c r="K46" s="40"/>
      <c r="L46" s="40"/>
      <c r="M46" s="40"/>
      <c r="N46" s="40"/>
      <c r="O46" s="40"/>
      <c r="P46" s="40"/>
      <c r="Q46" s="41"/>
      <c r="R46" s="40"/>
      <c r="S46" s="40"/>
      <c r="T46" s="40"/>
      <c r="U46" s="40"/>
      <c r="V46" s="40"/>
      <c r="W46" s="40"/>
      <c r="X46" s="40"/>
      <c r="Y46" s="40"/>
      <c r="Z46" s="40"/>
      <c r="AA46" s="40"/>
      <c r="AB46" s="40"/>
    </row>
    <row r="47" spans="1:28">
      <c r="A47" s="40"/>
      <c r="B47" s="40"/>
      <c r="C47" s="40"/>
      <c r="D47" s="40"/>
      <c r="E47" s="40"/>
      <c r="F47" s="40"/>
      <c r="G47" s="40"/>
      <c r="J47" s="40"/>
      <c r="K47" s="40"/>
      <c r="L47" s="40"/>
      <c r="M47" s="40"/>
      <c r="N47" s="40"/>
      <c r="O47" s="40"/>
      <c r="P47" s="40"/>
      <c r="Q47" s="41"/>
      <c r="R47" s="40"/>
      <c r="S47" s="40"/>
      <c r="T47" s="40"/>
      <c r="U47" s="40"/>
      <c r="V47" s="40"/>
      <c r="W47" s="40"/>
      <c r="X47" s="40"/>
      <c r="Y47" s="40"/>
      <c r="Z47" s="40"/>
      <c r="AA47" s="40"/>
      <c r="AB47" s="40"/>
    </row>
    <row r="48" spans="1:28">
      <c r="A48" s="40"/>
      <c r="B48" s="40"/>
      <c r="C48" s="40"/>
      <c r="D48" s="40"/>
      <c r="E48" s="40"/>
      <c r="F48" s="40"/>
      <c r="G48" s="40"/>
      <c r="J48" s="40"/>
      <c r="K48" s="40"/>
      <c r="L48" s="40"/>
      <c r="M48" s="40"/>
      <c r="N48" s="40"/>
      <c r="O48" s="40"/>
      <c r="P48" s="40"/>
      <c r="Q48" s="41"/>
      <c r="R48" s="40"/>
      <c r="S48" s="40"/>
      <c r="T48" s="40"/>
      <c r="U48" s="40"/>
      <c r="V48" s="40"/>
      <c r="W48" s="40"/>
      <c r="X48" s="40"/>
      <c r="Y48" s="40"/>
      <c r="Z48" s="40"/>
      <c r="AA48" s="40"/>
      <c r="AB48" s="40"/>
    </row>
    <row r="49" spans="1:28">
      <c r="A49" s="40"/>
      <c r="B49" s="40"/>
      <c r="C49" s="40"/>
      <c r="D49" s="40"/>
      <c r="E49" s="40"/>
      <c r="F49" s="40"/>
      <c r="G49" s="40"/>
      <c r="J49" s="40"/>
      <c r="K49" s="40"/>
      <c r="L49" s="40"/>
      <c r="M49" s="40"/>
      <c r="N49" s="40"/>
      <c r="O49" s="40"/>
      <c r="P49" s="40"/>
      <c r="Q49" s="41"/>
      <c r="R49" s="40"/>
      <c r="S49" s="40"/>
      <c r="T49" s="40"/>
      <c r="U49" s="40"/>
      <c r="V49" s="40"/>
      <c r="W49" s="40"/>
      <c r="X49" s="40"/>
      <c r="Y49" s="40"/>
      <c r="Z49" s="40"/>
      <c r="AA49" s="40"/>
      <c r="AB49" s="40"/>
    </row>
    <row r="50" spans="1:28">
      <c r="A50" s="40"/>
      <c r="B50" s="40"/>
      <c r="C50" s="40"/>
      <c r="D50" s="40"/>
      <c r="E50" s="40"/>
      <c r="F50" s="40"/>
      <c r="G50" s="40"/>
      <c r="J50" s="40"/>
      <c r="K50" s="40"/>
      <c r="L50" s="40"/>
      <c r="M50" s="40"/>
      <c r="N50" s="40"/>
      <c r="O50" s="40"/>
      <c r="P50" s="40"/>
      <c r="Q50" s="41"/>
      <c r="R50" s="40"/>
      <c r="S50" s="40"/>
      <c r="T50" s="40"/>
      <c r="U50" s="40"/>
      <c r="V50" s="40"/>
      <c r="W50" s="40"/>
      <c r="X50" s="40"/>
      <c r="Y50" s="40"/>
      <c r="Z50" s="40"/>
      <c r="AA50" s="40"/>
      <c r="AB50" s="40"/>
    </row>
    <row r="51" spans="1:28">
      <c r="A51" s="40"/>
      <c r="B51" s="40"/>
      <c r="C51" s="40"/>
      <c r="D51" s="40"/>
      <c r="E51" s="40"/>
      <c r="F51" s="40"/>
      <c r="G51" s="40"/>
      <c r="J51" s="40"/>
      <c r="K51" s="40"/>
      <c r="L51" s="40"/>
      <c r="M51" s="40"/>
      <c r="N51" s="40"/>
      <c r="O51" s="40"/>
      <c r="P51" s="40"/>
      <c r="Q51" s="41"/>
      <c r="R51" s="40"/>
      <c r="S51" s="40"/>
      <c r="T51" s="40"/>
      <c r="U51" s="40"/>
      <c r="V51" s="40"/>
      <c r="W51" s="40"/>
      <c r="X51" s="40"/>
      <c r="Y51" s="40"/>
      <c r="Z51" s="40"/>
      <c r="AA51" s="40"/>
      <c r="AB51" s="40"/>
    </row>
    <row r="52" spans="1:28">
      <c r="A52" s="40"/>
      <c r="B52" s="40"/>
      <c r="C52" s="40"/>
      <c r="D52" s="40"/>
      <c r="E52" s="40"/>
      <c r="F52" s="40"/>
      <c r="G52" s="40"/>
      <c r="J52" s="40"/>
      <c r="K52" s="40"/>
      <c r="L52" s="40"/>
      <c r="M52" s="40"/>
      <c r="N52" s="40"/>
      <c r="O52" s="40"/>
      <c r="P52" s="40"/>
      <c r="Q52" s="41"/>
      <c r="R52" s="40"/>
      <c r="S52" s="40"/>
      <c r="T52" s="40"/>
      <c r="U52" s="40"/>
      <c r="V52" s="40"/>
      <c r="W52" s="40"/>
      <c r="X52" s="40"/>
      <c r="Y52" s="40"/>
      <c r="Z52" s="40"/>
      <c r="AA52" s="40"/>
      <c r="AB52" s="40"/>
    </row>
    <row r="53" spans="1:28">
      <c r="A53" s="40"/>
      <c r="B53" s="40"/>
      <c r="C53" s="40"/>
      <c r="D53" s="40"/>
      <c r="E53" s="40"/>
      <c r="F53" s="40"/>
      <c r="G53" s="40"/>
      <c r="J53" s="40"/>
      <c r="K53" s="40"/>
      <c r="L53" s="40"/>
      <c r="M53" s="40"/>
      <c r="N53" s="40"/>
      <c r="O53" s="40"/>
      <c r="P53" s="40"/>
      <c r="Q53" s="41"/>
      <c r="R53" s="40"/>
      <c r="S53" s="40"/>
      <c r="T53" s="40"/>
      <c r="U53" s="40"/>
      <c r="V53" s="40"/>
      <c r="W53" s="40"/>
      <c r="X53" s="40"/>
      <c r="Y53" s="40"/>
      <c r="Z53" s="40"/>
      <c r="AA53" s="40"/>
      <c r="AB53" s="40"/>
    </row>
    <row r="54" spans="1:28">
      <c r="A54" s="40"/>
      <c r="B54" s="40"/>
      <c r="C54" s="40"/>
      <c r="D54" s="40"/>
      <c r="E54" s="40"/>
      <c r="F54" s="40"/>
      <c r="G54" s="40"/>
      <c r="J54" s="40"/>
      <c r="K54" s="40"/>
      <c r="L54" s="40"/>
      <c r="M54" s="40"/>
      <c r="N54" s="40"/>
      <c r="O54" s="40"/>
      <c r="P54" s="40"/>
      <c r="Q54" s="41"/>
      <c r="R54" s="40"/>
      <c r="S54" s="40"/>
      <c r="T54" s="40"/>
      <c r="U54" s="40"/>
      <c r="V54" s="40"/>
      <c r="W54" s="40"/>
      <c r="X54" s="40"/>
      <c r="Y54" s="40"/>
      <c r="Z54" s="40"/>
      <c r="AA54" s="40"/>
      <c r="AB54" s="40"/>
    </row>
    <row r="55" spans="1:28">
      <c r="A55" s="40"/>
      <c r="B55" s="40"/>
      <c r="C55" s="40"/>
      <c r="D55" s="40"/>
      <c r="E55" s="40"/>
      <c r="F55" s="40"/>
      <c r="G55" s="40"/>
      <c r="J55" s="40"/>
      <c r="K55" s="40"/>
      <c r="L55" s="40"/>
      <c r="M55" s="40"/>
      <c r="N55" s="40"/>
      <c r="O55" s="40"/>
      <c r="P55" s="40"/>
      <c r="Q55" s="41"/>
      <c r="R55" s="40"/>
      <c r="S55" s="40"/>
      <c r="T55" s="40"/>
      <c r="U55" s="40"/>
      <c r="V55" s="40"/>
      <c r="W55" s="40"/>
      <c r="X55" s="40"/>
      <c r="Y55" s="40"/>
      <c r="Z55" s="40"/>
      <c r="AA55" s="40"/>
      <c r="AB55" s="40"/>
    </row>
    <row r="56" spans="1:28">
      <c r="A56" s="40"/>
      <c r="B56" s="40"/>
      <c r="C56" s="40"/>
      <c r="D56" s="40"/>
      <c r="E56" s="40"/>
      <c r="F56" s="40"/>
      <c r="G56" s="40"/>
      <c r="J56" s="40"/>
      <c r="K56" s="40"/>
      <c r="L56" s="40"/>
      <c r="M56" s="40"/>
      <c r="N56" s="40"/>
      <c r="O56" s="40"/>
      <c r="P56" s="40"/>
      <c r="Q56" s="41"/>
      <c r="R56" s="40"/>
      <c r="S56" s="40"/>
      <c r="T56" s="40"/>
      <c r="U56" s="40"/>
      <c r="V56" s="40"/>
      <c r="W56" s="40"/>
      <c r="X56" s="40"/>
      <c r="Y56" s="40"/>
      <c r="Z56" s="40"/>
      <c r="AA56" s="40"/>
      <c r="AB56" s="40"/>
    </row>
    <row r="57" spans="1:28">
      <c r="A57" s="40"/>
      <c r="B57" s="40"/>
      <c r="C57" s="40"/>
      <c r="D57" s="40"/>
      <c r="E57" s="40"/>
      <c r="F57" s="40"/>
      <c r="G57" s="40"/>
      <c r="J57" s="40"/>
      <c r="K57" s="40"/>
      <c r="L57" s="40"/>
      <c r="M57" s="40"/>
      <c r="N57" s="40"/>
      <c r="O57" s="40"/>
      <c r="P57" s="40"/>
      <c r="Q57" s="41"/>
      <c r="R57" s="40"/>
      <c r="S57" s="40"/>
      <c r="T57" s="40"/>
      <c r="U57" s="40"/>
      <c r="V57" s="40"/>
      <c r="W57" s="40"/>
      <c r="X57" s="40"/>
      <c r="Y57" s="40"/>
      <c r="Z57" s="40"/>
      <c r="AA57" s="40"/>
      <c r="AB57" s="40"/>
    </row>
    <row r="58" spans="1:28">
      <c r="A58" s="40"/>
      <c r="B58" s="40"/>
      <c r="C58" s="40"/>
      <c r="D58" s="40"/>
      <c r="E58" s="40"/>
      <c r="F58" s="40"/>
      <c r="G58" s="40"/>
      <c r="J58" s="40"/>
      <c r="K58" s="40"/>
      <c r="L58" s="40"/>
      <c r="M58" s="40"/>
      <c r="N58" s="40"/>
      <c r="O58" s="40"/>
      <c r="P58" s="40"/>
      <c r="Q58" s="41"/>
      <c r="R58" s="40"/>
      <c r="S58" s="40"/>
      <c r="T58" s="40"/>
      <c r="U58" s="40"/>
      <c r="V58" s="40"/>
      <c r="W58" s="40"/>
      <c r="X58" s="40"/>
      <c r="Y58" s="40"/>
      <c r="Z58" s="40"/>
      <c r="AA58" s="40"/>
      <c r="AB58" s="40"/>
    </row>
    <row r="59" spans="1:28">
      <c r="A59" s="40"/>
      <c r="B59" s="40"/>
      <c r="C59" s="40"/>
      <c r="D59" s="40"/>
      <c r="E59" s="40"/>
      <c r="F59" s="40"/>
      <c r="G59" s="40"/>
      <c r="J59" s="40"/>
      <c r="K59" s="40"/>
      <c r="L59" s="40"/>
      <c r="M59" s="40"/>
      <c r="N59" s="40"/>
      <c r="O59" s="40"/>
      <c r="P59" s="40"/>
      <c r="Q59" s="41"/>
      <c r="R59" s="40"/>
      <c r="S59" s="40"/>
      <c r="T59" s="40"/>
      <c r="U59" s="40"/>
      <c r="V59" s="40"/>
      <c r="W59" s="40"/>
      <c r="X59" s="40"/>
      <c r="Y59" s="40"/>
      <c r="Z59" s="40"/>
      <c r="AA59" s="40"/>
      <c r="AB59" s="40"/>
    </row>
    <row r="60" spans="1:28">
      <c r="A60" s="40"/>
      <c r="B60" s="40"/>
      <c r="C60" s="40"/>
      <c r="D60" s="40"/>
      <c r="E60" s="40"/>
      <c r="F60" s="40"/>
      <c r="G60" s="40"/>
      <c r="J60" s="40"/>
      <c r="K60" s="40"/>
      <c r="L60" s="40"/>
      <c r="M60" s="40"/>
      <c r="N60" s="40"/>
      <c r="O60" s="40"/>
      <c r="P60" s="40"/>
      <c r="Q60" s="41"/>
      <c r="R60" s="40"/>
      <c r="S60" s="40"/>
      <c r="T60" s="40"/>
      <c r="U60" s="40"/>
      <c r="V60" s="40"/>
      <c r="W60" s="40"/>
      <c r="X60" s="40"/>
      <c r="Y60" s="40"/>
      <c r="Z60" s="40"/>
      <c r="AA60" s="40"/>
      <c r="AB60" s="40"/>
    </row>
    <row r="61" spans="1:28">
      <c r="A61" s="40"/>
      <c r="B61" s="40"/>
      <c r="C61" s="40"/>
      <c r="D61" s="40"/>
      <c r="E61" s="40"/>
      <c r="F61" s="40"/>
      <c r="G61" s="40"/>
      <c r="J61" s="40"/>
      <c r="K61" s="40"/>
      <c r="L61" s="40"/>
      <c r="M61" s="40"/>
      <c r="N61" s="40"/>
      <c r="O61" s="40"/>
      <c r="P61" s="40"/>
      <c r="Q61" s="41"/>
      <c r="R61" s="40"/>
      <c r="S61" s="40"/>
      <c r="T61" s="40"/>
      <c r="U61" s="40"/>
      <c r="V61" s="40"/>
      <c r="W61" s="40"/>
      <c r="X61" s="40"/>
      <c r="Y61" s="40"/>
      <c r="Z61" s="40"/>
      <c r="AA61" s="40"/>
      <c r="AB61" s="40"/>
    </row>
    <row r="62" spans="1:28">
      <c r="A62" s="40"/>
      <c r="B62" s="40"/>
      <c r="C62" s="40"/>
      <c r="D62" s="40"/>
      <c r="E62" s="40"/>
      <c r="J62" s="40"/>
      <c r="K62" s="40"/>
      <c r="L62" s="40"/>
      <c r="M62" s="40"/>
      <c r="N62" s="40"/>
      <c r="U62" s="195"/>
      <c r="V62" s="195"/>
    </row>
    <row r="63" spans="1:28" ht="20.100000000000001" customHeight="1">
      <c r="A63" s="40"/>
      <c r="B63" s="40"/>
      <c r="C63" s="40"/>
      <c r="D63" s="40"/>
      <c r="E63" s="40"/>
      <c r="G63" s="40"/>
      <c r="J63" s="40"/>
      <c r="K63" s="40"/>
      <c r="L63" s="40"/>
      <c r="M63" s="40"/>
      <c r="N63" s="40"/>
      <c r="P63" s="40"/>
      <c r="Q63" s="200"/>
      <c r="U63" s="195"/>
      <c r="V63" s="195"/>
    </row>
    <row r="64" spans="1:28" ht="20.100000000000001" customHeight="1">
      <c r="A64" s="40"/>
      <c r="B64" s="40"/>
      <c r="C64" s="40"/>
      <c r="D64" s="40"/>
      <c r="E64" s="40"/>
      <c r="G64" s="40"/>
      <c r="J64" s="40"/>
      <c r="K64" s="40"/>
      <c r="L64" s="40"/>
      <c r="M64" s="40"/>
      <c r="N64" s="40"/>
      <c r="P64" s="40"/>
      <c r="Q64" s="27"/>
      <c r="U64" s="195"/>
      <c r="V64" s="195"/>
    </row>
    <row r="65" spans="1:33" ht="20.100000000000001" customHeight="1">
      <c r="A65" s="40"/>
      <c r="B65" s="40"/>
      <c r="C65" s="40"/>
      <c r="D65" s="40"/>
      <c r="E65" s="40"/>
      <c r="G65" s="40"/>
      <c r="J65" s="40"/>
      <c r="K65" s="40"/>
      <c r="L65" s="40"/>
      <c r="M65" s="40"/>
      <c r="N65" s="40"/>
      <c r="P65" s="40"/>
      <c r="Q65" s="27"/>
      <c r="U65" s="195"/>
      <c r="V65" s="195"/>
    </row>
    <row r="66" spans="1:33" ht="20.100000000000001" customHeight="1">
      <c r="A66" s="40"/>
      <c r="B66" s="40"/>
      <c r="C66" s="40"/>
      <c r="D66" s="40"/>
      <c r="E66" s="40"/>
      <c r="G66" s="40"/>
      <c r="J66" s="40"/>
      <c r="K66" s="40"/>
      <c r="L66" s="40"/>
      <c r="M66" s="40"/>
      <c r="N66" s="40"/>
      <c r="P66" s="40"/>
      <c r="Q66" s="27"/>
      <c r="U66" s="195"/>
      <c r="V66" s="195"/>
    </row>
    <row r="67" spans="1:33" ht="20.100000000000001" customHeight="1">
      <c r="A67" s="40"/>
      <c r="B67" s="40"/>
      <c r="C67" s="40"/>
      <c r="D67" s="40"/>
      <c r="E67" s="40"/>
      <c r="G67" s="40"/>
      <c r="J67" s="40"/>
      <c r="K67" s="40"/>
      <c r="L67" s="40"/>
      <c r="M67" s="40"/>
      <c r="N67" s="40"/>
      <c r="P67" s="40"/>
      <c r="Q67" s="27"/>
      <c r="U67" s="195"/>
      <c r="V67" s="195"/>
    </row>
    <row r="68" spans="1:33" ht="20.100000000000001" customHeight="1">
      <c r="A68" s="40"/>
      <c r="B68" s="40"/>
      <c r="C68" s="40"/>
      <c r="D68" s="40"/>
      <c r="E68" s="40"/>
      <c r="G68" s="40"/>
      <c r="J68" s="40"/>
      <c r="K68" s="40"/>
      <c r="L68" s="40"/>
      <c r="M68" s="40"/>
      <c r="N68" s="40"/>
      <c r="P68" s="40"/>
      <c r="Q68" s="27"/>
      <c r="U68" s="195"/>
      <c r="V68" s="195"/>
    </row>
    <row r="69" spans="1:33" ht="20.100000000000001" customHeight="1">
      <c r="A69" s="40"/>
      <c r="B69" s="40"/>
      <c r="C69" s="40"/>
      <c r="D69" s="40"/>
      <c r="E69" s="40"/>
      <c r="G69" s="40"/>
      <c r="J69" s="40"/>
      <c r="K69" s="40"/>
      <c r="L69" s="40"/>
      <c r="M69" s="40"/>
      <c r="N69" s="40"/>
      <c r="P69" s="40"/>
      <c r="Q69" s="27"/>
      <c r="U69" s="195"/>
      <c r="V69" s="195"/>
    </row>
    <row r="70" spans="1:33" s="4" customFormat="1" ht="20.100000000000001" customHeight="1">
      <c r="A70" s="40"/>
      <c r="B70" s="40"/>
      <c r="C70" s="40"/>
      <c r="D70" s="40"/>
      <c r="E70" s="40"/>
      <c r="G70" s="40"/>
      <c r="I70" s="6"/>
      <c r="J70" s="40"/>
      <c r="K70" s="40"/>
      <c r="L70" s="40"/>
      <c r="M70" s="40"/>
      <c r="N70" s="40"/>
      <c r="P70" s="40"/>
      <c r="Q70" s="27"/>
      <c r="U70" s="195"/>
      <c r="V70" s="195"/>
      <c r="AC70" s="40"/>
      <c r="AD70" s="40"/>
      <c r="AE70" s="40"/>
      <c r="AF70" s="40"/>
      <c r="AG70" s="40"/>
    </row>
    <row r="71" spans="1:33" s="4" customFormat="1" ht="20.100000000000001" customHeight="1">
      <c r="A71" s="40"/>
      <c r="B71" s="40"/>
      <c r="C71" s="40"/>
      <c r="D71" s="40"/>
      <c r="E71" s="40"/>
      <c r="G71" s="40"/>
      <c r="I71" s="6"/>
      <c r="J71" s="40"/>
      <c r="K71" s="40"/>
      <c r="L71" s="40"/>
      <c r="M71" s="40"/>
      <c r="N71" s="40"/>
      <c r="P71" s="40"/>
      <c r="Q71" s="27"/>
      <c r="U71" s="195"/>
      <c r="V71" s="195"/>
      <c r="AC71" s="40"/>
      <c r="AD71" s="40"/>
      <c r="AE71" s="40"/>
      <c r="AF71" s="40"/>
      <c r="AG71" s="40"/>
    </row>
    <row r="72" spans="1:33" s="4" customFormat="1" ht="20.100000000000001" customHeight="1">
      <c r="A72" s="40"/>
      <c r="B72" s="40"/>
      <c r="C72" s="40"/>
      <c r="D72" s="40"/>
      <c r="E72" s="40"/>
      <c r="G72" s="40"/>
      <c r="I72" s="6"/>
      <c r="J72" s="40"/>
      <c r="K72" s="40"/>
      <c r="L72" s="40"/>
      <c r="M72" s="40"/>
      <c r="N72" s="40"/>
      <c r="P72" s="40"/>
      <c r="Q72" s="27"/>
      <c r="U72" s="195"/>
      <c r="V72" s="195"/>
      <c r="AC72" s="40"/>
      <c r="AD72" s="40"/>
      <c r="AE72" s="40"/>
      <c r="AF72" s="40"/>
      <c r="AG72" s="40"/>
    </row>
    <row r="73" spans="1:33" s="4" customFormat="1" ht="20.100000000000001" customHeight="1">
      <c r="A73" s="40"/>
      <c r="B73" s="40"/>
      <c r="C73" s="40"/>
      <c r="D73" s="40"/>
      <c r="E73" s="40"/>
      <c r="I73" s="6"/>
      <c r="J73" s="40"/>
      <c r="K73" s="40"/>
      <c r="L73" s="40"/>
      <c r="M73" s="40"/>
      <c r="N73" s="40"/>
      <c r="Q73" s="6"/>
      <c r="AC73" s="40"/>
      <c r="AD73" s="40"/>
      <c r="AE73" s="40"/>
      <c r="AF73" s="40"/>
      <c r="AG73" s="40"/>
    </row>
    <row r="74" spans="1:33" s="4" customFormat="1">
      <c r="A74" s="40"/>
      <c r="B74" s="40"/>
      <c r="C74" s="40"/>
      <c r="D74" s="40"/>
      <c r="E74" s="40"/>
      <c r="I74" s="6"/>
      <c r="J74" s="40"/>
      <c r="K74" s="40"/>
      <c r="L74" s="40"/>
      <c r="M74" s="40"/>
      <c r="N74" s="40"/>
      <c r="Q74" s="6"/>
      <c r="AC74" s="40"/>
      <c r="AD74" s="40"/>
      <c r="AE74" s="40"/>
      <c r="AF74" s="40"/>
      <c r="AG74" s="40"/>
    </row>
    <row r="75" spans="1:33" s="4" customFormat="1">
      <c r="A75" s="40"/>
      <c r="B75" s="40"/>
      <c r="C75" s="40"/>
      <c r="D75" s="40"/>
      <c r="E75" s="40"/>
      <c r="I75" s="6"/>
      <c r="J75" s="40"/>
      <c r="K75" s="40"/>
      <c r="L75" s="40"/>
      <c r="M75" s="40"/>
      <c r="N75" s="40"/>
      <c r="Q75" s="6"/>
      <c r="AC75" s="40"/>
      <c r="AD75" s="40"/>
      <c r="AE75" s="40"/>
      <c r="AF75" s="40"/>
      <c r="AG75" s="40"/>
    </row>
    <row r="76" spans="1:33" s="4" customFormat="1">
      <c r="A76" s="40"/>
      <c r="B76" s="40"/>
      <c r="C76" s="40"/>
      <c r="D76" s="40"/>
      <c r="E76" s="40"/>
      <c r="I76" s="6"/>
      <c r="J76" s="40"/>
      <c r="K76" s="40"/>
      <c r="L76" s="40"/>
      <c r="M76" s="40"/>
      <c r="N76" s="40"/>
      <c r="Q76" s="6"/>
      <c r="AC76" s="40"/>
      <c r="AD76" s="40"/>
      <c r="AE76" s="40"/>
      <c r="AF76" s="40"/>
      <c r="AG76" s="40"/>
    </row>
    <row r="77" spans="1:33" s="4" customFormat="1">
      <c r="A77" s="40"/>
      <c r="B77" s="40"/>
      <c r="C77" s="40"/>
      <c r="D77" s="40"/>
      <c r="E77" s="40"/>
      <c r="I77" s="6"/>
      <c r="J77" s="40"/>
      <c r="K77" s="40"/>
      <c r="L77" s="40"/>
      <c r="M77" s="40"/>
      <c r="N77" s="40"/>
      <c r="Q77" s="6"/>
      <c r="AC77" s="40"/>
      <c r="AD77" s="40"/>
      <c r="AE77" s="40"/>
      <c r="AF77" s="40"/>
      <c r="AG77" s="40"/>
    </row>
    <row r="78" spans="1:33" s="4" customFormat="1">
      <c r="A78" s="40"/>
      <c r="B78" s="40"/>
      <c r="C78" s="40"/>
      <c r="D78" s="40"/>
      <c r="E78" s="40"/>
      <c r="I78" s="6"/>
      <c r="J78" s="40"/>
      <c r="K78" s="40"/>
      <c r="L78" s="40"/>
      <c r="M78" s="40"/>
      <c r="N78" s="40"/>
      <c r="Q78" s="6"/>
      <c r="AC78" s="40"/>
      <c r="AD78" s="40"/>
      <c r="AE78" s="40"/>
      <c r="AF78" s="40"/>
      <c r="AG78" s="40"/>
    </row>
    <row r="79" spans="1:33" s="4" customFormat="1">
      <c r="A79" s="40"/>
      <c r="B79" s="40"/>
      <c r="C79" s="40"/>
      <c r="D79" s="40"/>
      <c r="E79" s="40"/>
      <c r="F79" s="40"/>
      <c r="G79" s="7"/>
      <c r="I79" s="6"/>
      <c r="J79" s="40"/>
      <c r="K79" s="40"/>
      <c r="L79" s="40"/>
      <c r="M79" s="40"/>
      <c r="N79" s="40"/>
      <c r="O79" s="40"/>
      <c r="P79" s="196"/>
      <c r="Q79" s="201"/>
      <c r="R79" s="197"/>
      <c r="AC79" s="40"/>
      <c r="AD79" s="40"/>
      <c r="AE79" s="40"/>
      <c r="AF79" s="40"/>
      <c r="AG79" s="40"/>
    </row>
    <row r="80" spans="1:33" s="4" customFormat="1">
      <c r="A80" s="40"/>
      <c r="B80" s="40"/>
      <c r="C80" s="40"/>
      <c r="D80" s="40"/>
      <c r="E80" s="40"/>
      <c r="F80" s="40"/>
      <c r="I80" s="6"/>
      <c r="J80" s="40"/>
      <c r="K80" s="40"/>
      <c r="L80" s="40"/>
      <c r="M80" s="40"/>
      <c r="N80" s="40"/>
      <c r="O80" s="40"/>
      <c r="Q80" s="6"/>
      <c r="AC80" s="40"/>
      <c r="AD80" s="40"/>
      <c r="AE80" s="40"/>
      <c r="AF80" s="40"/>
      <c r="AG80" s="40"/>
    </row>
    <row r="81" spans="1:33" s="4" customFormat="1">
      <c r="A81" s="40"/>
      <c r="B81" s="40"/>
      <c r="C81" s="40"/>
      <c r="D81" s="40"/>
      <c r="E81" s="40"/>
      <c r="F81" s="40"/>
      <c r="G81" s="40"/>
      <c r="I81" s="6"/>
      <c r="J81" s="40"/>
      <c r="K81" s="40"/>
      <c r="L81" s="40"/>
      <c r="M81" s="40"/>
      <c r="N81" s="40"/>
      <c r="O81" s="40"/>
      <c r="P81" s="40"/>
      <c r="Q81" s="6"/>
      <c r="AC81" s="40"/>
      <c r="AD81" s="40"/>
      <c r="AE81" s="40"/>
      <c r="AF81" s="40"/>
      <c r="AG81" s="40"/>
    </row>
    <row r="82" spans="1:33" s="4" customFormat="1">
      <c r="A82" s="40"/>
      <c r="B82" s="40"/>
      <c r="C82" s="40"/>
      <c r="D82" s="40"/>
      <c r="E82" s="40"/>
      <c r="F82" s="40"/>
      <c r="G82" s="40"/>
      <c r="I82" s="6"/>
      <c r="J82" s="40"/>
      <c r="K82" s="40"/>
      <c r="L82" s="40"/>
      <c r="M82" s="40"/>
      <c r="N82" s="40"/>
      <c r="O82" s="40"/>
      <c r="P82" s="40"/>
      <c r="Q82" s="6"/>
      <c r="AC82" s="40"/>
      <c r="AD82" s="40"/>
      <c r="AE82" s="40"/>
      <c r="AF82" s="40"/>
      <c r="AG82" s="40"/>
    </row>
    <row r="83" spans="1:33" s="4" customFormat="1">
      <c r="A83" s="40"/>
      <c r="B83" s="40"/>
      <c r="C83" s="40"/>
      <c r="D83" s="40"/>
      <c r="E83" s="40"/>
      <c r="F83" s="40"/>
      <c r="G83" s="40"/>
      <c r="I83" s="6"/>
      <c r="J83" s="40"/>
      <c r="K83" s="40"/>
      <c r="L83" s="40"/>
      <c r="M83" s="40"/>
      <c r="N83" s="40"/>
      <c r="O83" s="40"/>
      <c r="P83" s="40"/>
      <c r="Q83" s="6"/>
      <c r="AC83" s="40"/>
      <c r="AD83" s="40"/>
      <c r="AE83" s="40"/>
      <c r="AF83" s="40"/>
      <c r="AG83" s="40"/>
    </row>
    <row r="84" spans="1:33" s="4" customFormat="1">
      <c r="A84" s="40"/>
      <c r="B84" s="40"/>
      <c r="C84" s="40"/>
      <c r="D84" s="40"/>
      <c r="E84" s="40"/>
      <c r="F84" s="40"/>
      <c r="G84" s="40"/>
      <c r="I84" s="6"/>
      <c r="J84" s="40"/>
      <c r="K84" s="40"/>
      <c r="L84" s="40"/>
      <c r="M84" s="40"/>
      <c r="N84" s="40"/>
      <c r="O84" s="40"/>
      <c r="P84" s="40"/>
      <c r="Q84" s="6"/>
      <c r="AC84" s="40"/>
      <c r="AD84" s="40"/>
      <c r="AE84" s="40"/>
      <c r="AF84" s="40"/>
      <c r="AG84" s="40"/>
    </row>
    <row r="85" spans="1:33" s="4" customFormat="1">
      <c r="A85" s="40"/>
      <c r="B85" s="40"/>
      <c r="C85" s="40"/>
      <c r="D85" s="40"/>
      <c r="E85" s="40"/>
      <c r="F85" s="40"/>
      <c r="G85" s="40"/>
      <c r="I85" s="6"/>
      <c r="J85" s="40"/>
      <c r="K85" s="40"/>
      <c r="L85" s="40"/>
      <c r="M85" s="40"/>
      <c r="N85" s="40"/>
      <c r="O85" s="40"/>
      <c r="P85" s="40"/>
      <c r="Q85" s="6"/>
      <c r="AC85" s="40"/>
      <c r="AD85" s="40"/>
      <c r="AE85" s="40"/>
      <c r="AF85" s="40"/>
      <c r="AG85" s="40"/>
    </row>
    <row r="86" spans="1:33" s="4" customFormat="1">
      <c r="A86" s="40"/>
      <c r="B86" s="40"/>
      <c r="C86" s="40"/>
      <c r="D86" s="40"/>
      <c r="E86" s="40"/>
      <c r="F86" s="40"/>
      <c r="G86" s="40"/>
      <c r="I86" s="6"/>
      <c r="J86" s="40"/>
      <c r="K86" s="40"/>
      <c r="L86" s="40"/>
      <c r="M86" s="40"/>
      <c r="N86" s="40"/>
      <c r="O86" s="40"/>
      <c r="P86" s="40"/>
      <c r="Q86" s="6"/>
      <c r="AC86" s="40"/>
      <c r="AD86" s="40"/>
      <c r="AE86" s="40"/>
      <c r="AF86" s="40"/>
      <c r="AG86" s="40"/>
    </row>
    <row r="87" spans="1:33" s="4" customFormat="1">
      <c r="A87" s="40"/>
      <c r="B87" s="40"/>
      <c r="C87" s="40"/>
      <c r="D87" s="40"/>
      <c r="E87" s="40"/>
      <c r="F87" s="40"/>
      <c r="G87" s="40"/>
      <c r="I87" s="6"/>
      <c r="J87" s="40"/>
      <c r="K87" s="40"/>
      <c r="L87" s="40"/>
      <c r="M87" s="40"/>
      <c r="N87" s="40"/>
      <c r="O87" s="40"/>
      <c r="P87" s="40"/>
      <c r="Q87" s="6"/>
      <c r="AC87" s="40"/>
      <c r="AD87" s="40"/>
      <c r="AE87" s="40"/>
      <c r="AF87" s="40"/>
      <c r="AG87" s="40"/>
    </row>
    <row r="88" spans="1:33" s="4" customFormat="1">
      <c r="A88" s="40"/>
      <c r="B88" s="40"/>
      <c r="C88" s="40"/>
      <c r="D88" s="40"/>
      <c r="E88" s="40"/>
      <c r="F88" s="40"/>
      <c r="G88" s="40"/>
      <c r="I88" s="6"/>
      <c r="J88" s="40"/>
      <c r="K88" s="40"/>
      <c r="L88" s="40"/>
      <c r="M88" s="40"/>
      <c r="N88" s="40"/>
      <c r="O88" s="40"/>
      <c r="P88" s="40"/>
      <c r="Q88" s="6"/>
      <c r="AC88" s="40"/>
      <c r="AD88" s="40"/>
      <c r="AE88" s="40"/>
      <c r="AF88" s="40"/>
      <c r="AG88" s="40"/>
    </row>
    <row r="89" spans="1:33" s="4" customFormat="1">
      <c r="A89" s="40"/>
      <c r="B89" s="40"/>
      <c r="C89" s="40"/>
      <c r="D89" s="40"/>
      <c r="E89" s="40"/>
      <c r="F89" s="40"/>
      <c r="G89" s="40"/>
      <c r="I89" s="6"/>
      <c r="J89" s="40"/>
      <c r="K89" s="40"/>
      <c r="L89" s="40"/>
      <c r="M89" s="40"/>
      <c r="N89" s="40"/>
      <c r="O89" s="40"/>
      <c r="P89" s="40"/>
      <c r="Q89" s="6"/>
      <c r="AC89" s="40"/>
      <c r="AD89" s="40"/>
      <c r="AE89" s="40"/>
      <c r="AF89" s="40"/>
      <c r="AG89" s="40"/>
    </row>
    <row r="90" spans="1:33" s="4" customFormat="1">
      <c r="A90" s="40"/>
      <c r="B90" s="40"/>
      <c r="C90" s="40"/>
      <c r="D90" s="40"/>
      <c r="E90" s="40"/>
      <c r="F90" s="40"/>
      <c r="G90" s="40"/>
      <c r="I90" s="6"/>
      <c r="J90" s="40"/>
      <c r="K90" s="40"/>
      <c r="L90" s="40"/>
      <c r="M90" s="40"/>
      <c r="N90" s="40"/>
      <c r="O90" s="40"/>
      <c r="P90" s="40"/>
      <c r="Q90" s="6"/>
      <c r="AC90" s="40"/>
      <c r="AD90" s="40"/>
      <c r="AE90" s="40"/>
      <c r="AF90" s="40"/>
      <c r="AG90" s="40"/>
    </row>
    <row r="91" spans="1:33" s="4" customFormat="1">
      <c r="A91" s="40"/>
      <c r="B91" s="40"/>
      <c r="C91" s="40"/>
      <c r="D91" s="40"/>
      <c r="E91" s="40"/>
      <c r="F91" s="40"/>
      <c r="G91" s="40"/>
      <c r="I91" s="6"/>
      <c r="J91" s="40"/>
      <c r="K91" s="40"/>
      <c r="L91" s="40"/>
      <c r="M91" s="40"/>
      <c r="N91" s="40"/>
      <c r="O91" s="40"/>
      <c r="P91" s="40"/>
      <c r="Q91" s="6"/>
      <c r="AC91" s="40"/>
      <c r="AD91" s="40"/>
      <c r="AE91" s="40"/>
      <c r="AF91" s="40"/>
      <c r="AG91" s="40"/>
    </row>
    <row r="92" spans="1:33" s="4" customFormat="1">
      <c r="A92" s="40"/>
      <c r="B92" s="40"/>
      <c r="C92" s="40"/>
      <c r="D92" s="40"/>
      <c r="E92" s="40"/>
      <c r="F92" s="40"/>
      <c r="G92" s="40"/>
      <c r="I92" s="6"/>
      <c r="J92" s="40"/>
      <c r="K92" s="40"/>
      <c r="L92" s="40"/>
      <c r="M92" s="40"/>
      <c r="N92" s="40"/>
      <c r="O92" s="40"/>
      <c r="P92" s="40"/>
      <c r="Q92" s="6"/>
      <c r="AC92" s="40"/>
      <c r="AD92" s="40"/>
      <c r="AE92" s="40"/>
      <c r="AF92" s="40"/>
      <c r="AG92" s="40"/>
    </row>
    <row r="93" spans="1:33" s="4" customFormat="1">
      <c r="A93" s="40"/>
      <c r="B93" s="40"/>
      <c r="C93" s="40"/>
      <c r="D93" s="40"/>
      <c r="E93" s="40"/>
      <c r="F93" s="40"/>
      <c r="G93" s="40"/>
      <c r="I93" s="6"/>
      <c r="J93" s="40"/>
      <c r="K93" s="40"/>
      <c r="L93" s="40"/>
      <c r="M93" s="40"/>
      <c r="N93" s="40"/>
      <c r="O93" s="40"/>
      <c r="P93" s="40"/>
      <c r="Q93" s="6"/>
      <c r="AC93" s="40"/>
      <c r="AD93" s="40"/>
      <c r="AE93" s="40"/>
      <c r="AF93" s="40"/>
      <c r="AG93" s="40"/>
    </row>
    <row r="94" spans="1:33" s="4" customFormat="1">
      <c r="A94" s="40"/>
      <c r="B94" s="40"/>
      <c r="C94" s="40"/>
      <c r="D94" s="40"/>
      <c r="E94" s="40"/>
      <c r="F94" s="40"/>
      <c r="G94" s="40"/>
      <c r="I94" s="6"/>
      <c r="J94" s="40"/>
      <c r="K94" s="40"/>
      <c r="L94" s="40"/>
      <c r="M94" s="40"/>
      <c r="N94" s="40"/>
      <c r="O94" s="40"/>
      <c r="P94" s="40"/>
      <c r="Q94" s="6"/>
      <c r="AC94" s="40"/>
      <c r="AD94" s="40"/>
      <c r="AE94" s="40"/>
      <c r="AF94" s="40"/>
      <c r="AG94" s="40"/>
    </row>
    <row r="95" spans="1:33" s="4" customFormat="1">
      <c r="A95" s="40"/>
      <c r="B95" s="40"/>
      <c r="C95" s="40"/>
      <c r="D95" s="40"/>
      <c r="E95" s="40"/>
      <c r="F95" s="40"/>
      <c r="G95" s="40"/>
      <c r="I95" s="6"/>
      <c r="J95" s="40"/>
      <c r="K95" s="40"/>
      <c r="L95" s="40"/>
      <c r="M95" s="40"/>
      <c r="N95" s="40"/>
      <c r="O95" s="40"/>
      <c r="P95" s="40"/>
      <c r="Q95" s="6"/>
      <c r="AC95" s="40"/>
      <c r="AD95" s="40"/>
      <c r="AE95" s="40"/>
      <c r="AF95" s="40"/>
      <c r="AG95" s="40"/>
    </row>
    <row r="96" spans="1:33" s="4" customFormat="1">
      <c r="A96" s="40"/>
      <c r="B96" s="40"/>
      <c r="C96" s="40"/>
      <c r="D96" s="40"/>
      <c r="E96" s="40"/>
      <c r="F96" s="40"/>
      <c r="G96" s="40"/>
      <c r="I96" s="6"/>
      <c r="J96" s="40"/>
      <c r="K96" s="40"/>
      <c r="L96" s="40"/>
      <c r="M96" s="40"/>
      <c r="N96" s="40"/>
      <c r="O96" s="40"/>
      <c r="P96" s="40"/>
      <c r="Q96" s="6"/>
      <c r="AC96" s="40"/>
      <c r="AD96" s="40"/>
      <c r="AE96" s="40"/>
      <c r="AF96" s="40"/>
      <c r="AG96" s="40"/>
    </row>
    <row r="97" spans="1:33" s="4" customFormat="1">
      <c r="A97" s="40"/>
      <c r="B97" s="40"/>
      <c r="C97" s="40"/>
      <c r="D97" s="40"/>
      <c r="E97" s="40"/>
      <c r="F97" s="40"/>
      <c r="G97" s="40"/>
      <c r="I97" s="6"/>
      <c r="J97" s="40"/>
      <c r="K97" s="40"/>
      <c r="L97" s="40"/>
      <c r="M97" s="40"/>
      <c r="N97" s="40"/>
      <c r="O97" s="40"/>
      <c r="P97" s="40"/>
      <c r="Q97" s="6"/>
      <c r="AC97" s="40"/>
      <c r="AD97" s="40"/>
      <c r="AE97" s="40"/>
      <c r="AF97" s="40"/>
      <c r="AG97" s="40"/>
    </row>
    <row r="98" spans="1:33" s="4" customFormat="1">
      <c r="A98" s="40"/>
      <c r="B98" s="40"/>
      <c r="C98" s="40"/>
      <c r="D98" s="40"/>
      <c r="E98" s="40"/>
      <c r="F98" s="40"/>
      <c r="G98" s="40"/>
      <c r="I98" s="6"/>
      <c r="J98" s="40"/>
      <c r="K98" s="40"/>
      <c r="L98" s="40"/>
      <c r="M98" s="40"/>
      <c r="N98" s="40"/>
      <c r="O98" s="40"/>
      <c r="P98" s="40"/>
      <c r="Q98" s="6"/>
      <c r="AC98" s="40"/>
      <c r="AD98" s="40"/>
      <c r="AE98" s="40"/>
      <c r="AF98" s="40"/>
      <c r="AG98" s="40"/>
    </row>
    <row r="156" spans="9:17" s="4" customFormat="1">
      <c r="I156" s="6"/>
      <c r="Q156" s="6"/>
    </row>
    <row r="157" spans="9:17" s="4" customFormat="1">
      <c r="I157" s="6"/>
      <c r="Q157" s="6"/>
    </row>
    <row r="158" spans="9:17" s="4" customFormat="1">
      <c r="I158" s="6"/>
      <c r="Q158" s="6"/>
    </row>
    <row r="159" spans="9:17" s="4" customFormat="1">
      <c r="I159" s="6"/>
      <c r="Q159" s="6"/>
    </row>
    <row r="160" spans="9:17" s="4" customFormat="1">
      <c r="I160" s="6"/>
      <c r="Q160" s="6"/>
    </row>
    <row r="161" spans="9:17" s="4" customFormat="1">
      <c r="I161" s="6"/>
      <c r="Q161" s="6"/>
    </row>
    <row r="162" spans="9:17" s="4" customFormat="1">
      <c r="I162" s="6"/>
      <c r="Q162" s="6"/>
    </row>
    <row r="163" spans="9:17" s="4" customFormat="1">
      <c r="I163" s="6"/>
      <c r="Q163" s="6"/>
    </row>
    <row r="164" spans="9:17" s="4" customFormat="1">
      <c r="I164" s="6"/>
      <c r="Q164" s="6"/>
    </row>
    <row r="165" spans="9:17" s="4" customFormat="1">
      <c r="I165" s="6"/>
      <c r="Q165" s="6"/>
    </row>
  </sheetData>
  <sheetProtection algorithmName="SHA-512" hashValue="blzNfXXXj6v4hL8dNfdgQ8wFTatLw+FPyMnMr12PnVGr55hNaFuaci9rMJn23hgPvx08HiauF1yDzpRMKrXvFA==" saltValue="VUsZWV+MZyYgNhtAjT04UQ==" spinCount="100000" sheet="1" objects="1" scenarios="1"/>
  <mergeCells count="4">
    <mergeCell ref="J3:P3"/>
    <mergeCell ref="K9:K10"/>
    <mergeCell ref="A3:G3"/>
    <mergeCell ref="B9:B10"/>
  </mergeCells>
  <pageMargins left="0.75" right="0.5" top="0.5" bottom="0.75" header="0" footer="0.5"/>
  <pageSetup scale="9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pageSetUpPr fitToPage="1"/>
  </sheetPr>
  <dimension ref="A1:Z88"/>
  <sheetViews>
    <sheetView zoomScaleNormal="100" workbookViewId="0"/>
  </sheetViews>
  <sheetFormatPr defaultColWidth="11.42578125" defaultRowHeight="12.75"/>
  <cols>
    <col min="1" max="1" width="3.7109375" style="40" customWidth="1"/>
    <col min="2" max="2" width="3.7109375" style="4" customWidth="1"/>
    <col min="3" max="3" width="2.28515625" style="4" bestFit="1" customWidth="1"/>
    <col min="4" max="4" width="41.7109375" style="4" customWidth="1"/>
    <col min="5" max="6" width="5.7109375" style="4" customWidth="1"/>
    <col min="7" max="7" width="4.140625" style="4" customWidth="1"/>
    <col min="8" max="8" width="6.140625" style="4" customWidth="1"/>
    <col min="9" max="10" width="5.7109375" style="4" customWidth="1"/>
    <col min="11" max="11" width="6.7109375" style="4" customWidth="1"/>
    <col min="12" max="12" width="5.7109375" style="4" customWidth="1"/>
    <col min="13" max="13" width="2.28515625" style="4" customWidth="1"/>
    <col min="14" max="14" width="13.140625" style="4" customWidth="1"/>
    <col min="15" max="15" width="12.7109375" style="4" customWidth="1"/>
    <col min="16" max="26" width="10.7109375" style="4" customWidth="1"/>
    <col min="27" max="16384" width="11.42578125" style="40"/>
  </cols>
  <sheetData>
    <row r="1" spans="1:26">
      <c r="A1" s="1302" t="str">
        <f>IF('FORM 1040-1'!D15="","",'FORM 1040-1'!D15)</f>
        <v/>
      </c>
      <c r="B1" s="1303"/>
      <c r="C1" s="1303"/>
      <c r="D1" s="1303"/>
      <c r="E1" s="1303"/>
      <c r="F1" s="1303"/>
      <c r="G1" s="1303"/>
      <c r="H1" s="1303"/>
      <c r="I1" s="1303"/>
      <c r="J1" s="1303"/>
      <c r="K1" s="1294" t="str">
        <f>IF('FORM 1040-1'!$E$12="","",'FORM 1040-1'!$E$12)</f>
        <v/>
      </c>
      <c r="L1" s="814"/>
      <c r="M1" s="814"/>
      <c r="N1" s="814"/>
      <c r="O1" s="814"/>
      <c r="P1" s="814"/>
      <c r="Q1" s="814"/>
      <c r="R1" s="814"/>
      <c r="S1" s="814"/>
      <c r="T1" s="814"/>
      <c r="U1" s="814"/>
      <c r="V1" s="814"/>
      <c r="W1" s="814"/>
      <c r="X1" s="814"/>
      <c r="Y1" s="814"/>
      <c r="Z1" s="814"/>
    </row>
    <row r="2" spans="1:26">
      <c r="B2" s="814"/>
      <c r="C2" s="814"/>
      <c r="D2" s="814"/>
      <c r="E2" s="814"/>
      <c r="F2" s="814"/>
      <c r="G2" s="814"/>
      <c r="H2" s="814"/>
      <c r="I2" s="814"/>
      <c r="J2" s="814"/>
      <c r="K2" s="814"/>
      <c r="L2" s="814"/>
      <c r="M2" s="814"/>
      <c r="N2" s="814"/>
      <c r="O2" s="814"/>
      <c r="P2" s="814"/>
      <c r="Q2" s="814"/>
      <c r="R2" s="814"/>
      <c r="S2" s="814"/>
      <c r="T2" s="814"/>
      <c r="U2" s="814"/>
      <c r="V2" s="814"/>
      <c r="W2" s="814"/>
      <c r="X2" s="814"/>
      <c r="Y2" s="814"/>
      <c r="Z2" s="814"/>
    </row>
    <row r="3" spans="1:26" ht="14.1" customHeight="1">
      <c r="A3" s="12" t="s">
        <v>166</v>
      </c>
      <c r="B3" s="1694" t="s">
        <v>408</v>
      </c>
      <c r="C3" s="1694"/>
      <c r="D3" s="1694"/>
      <c r="E3" s="1694"/>
      <c r="F3" s="1694"/>
      <c r="G3" s="1694"/>
      <c r="H3" s="1694"/>
      <c r="I3" s="1694"/>
      <c r="J3" s="1694"/>
      <c r="K3" s="1694"/>
      <c r="L3" s="642"/>
      <c r="U3" s="40"/>
      <c r="V3" s="40"/>
      <c r="W3" s="40"/>
      <c r="X3" s="40"/>
      <c r="Y3" s="40"/>
      <c r="Z3" s="40"/>
    </row>
    <row r="4" spans="1:26" ht="12" customHeight="1">
      <c r="B4" s="12"/>
      <c r="C4" s="12"/>
      <c r="U4" s="40"/>
      <c r="V4" s="40"/>
      <c r="W4" s="40"/>
      <c r="X4" s="40"/>
      <c r="Y4" s="40"/>
      <c r="Z4" s="40"/>
    </row>
    <row r="5" spans="1:26" ht="14.1" customHeight="1" thickBot="1">
      <c r="B5" s="202"/>
      <c r="C5" s="1593" t="s">
        <v>409</v>
      </c>
      <c r="D5" s="1593"/>
      <c r="E5" s="1593"/>
      <c r="F5" s="1593"/>
      <c r="G5" s="1593"/>
      <c r="H5" s="1593"/>
      <c r="I5" s="1593"/>
      <c r="J5" s="203"/>
      <c r="K5" s="40"/>
      <c r="L5" s="40"/>
      <c r="U5" s="40"/>
      <c r="V5" s="40"/>
      <c r="W5" s="40"/>
      <c r="X5" s="40"/>
      <c r="Y5" s="40"/>
      <c r="Z5" s="40"/>
    </row>
    <row r="6" spans="1:26" ht="14.1" customHeight="1" thickTop="1" thickBot="1">
      <c r="B6" s="202"/>
      <c r="C6" s="642" t="s">
        <v>410</v>
      </c>
      <c r="D6" s="642"/>
      <c r="E6" s="642"/>
      <c r="F6" s="642"/>
      <c r="G6" s="642"/>
      <c r="H6" s="204"/>
      <c r="I6" s="639" t="s">
        <v>334</v>
      </c>
      <c r="J6" s="640"/>
      <c r="K6" s="640"/>
      <c r="L6" s="640"/>
      <c r="U6" s="40"/>
      <c r="V6" s="40"/>
      <c r="W6" s="40"/>
      <c r="X6" s="40"/>
      <c r="Y6" s="40"/>
      <c r="Z6" s="40"/>
    </row>
    <row r="7" spans="1:26" ht="12" customHeight="1" thickTop="1">
      <c r="B7" s="202"/>
      <c r="C7" s="202"/>
      <c r="G7" s="26"/>
      <c r="H7" s="26"/>
      <c r="I7" s="26"/>
      <c r="J7" s="205"/>
      <c r="U7" s="40"/>
      <c r="V7" s="40"/>
      <c r="W7" s="40"/>
      <c r="X7" s="40"/>
      <c r="Y7" s="40"/>
      <c r="Z7" s="40"/>
    </row>
    <row r="8" spans="1:26" ht="14.1" customHeight="1">
      <c r="B8" s="85" t="str">
        <f>"1."</f>
        <v>1.</v>
      </c>
      <c r="C8" s="1694" t="s">
        <v>2874</v>
      </c>
      <c r="D8" s="1694"/>
      <c r="E8" s="1694"/>
      <c r="F8" s="1694"/>
      <c r="G8" s="1694"/>
      <c r="H8" s="1694"/>
      <c r="I8" s="1694"/>
      <c r="J8" s="1694"/>
      <c r="K8" s="1694"/>
      <c r="L8" s="642"/>
      <c r="U8" s="40"/>
      <c r="V8" s="40"/>
      <c r="W8" s="40"/>
      <c r="X8" s="40"/>
      <c r="Y8" s="40"/>
      <c r="Z8" s="40"/>
    </row>
    <row r="9" spans="1:26" ht="6" customHeight="1">
      <c r="B9" s="12"/>
      <c r="C9" s="12"/>
      <c r="U9" s="40"/>
      <c r="V9" s="40"/>
      <c r="W9" s="40"/>
      <c r="X9" s="40"/>
      <c r="Y9" s="40"/>
      <c r="Z9" s="40"/>
    </row>
    <row r="10" spans="1:26" ht="28.35" customHeight="1" thickBot="1">
      <c r="B10" s="40"/>
      <c r="C10" s="206" t="s">
        <v>63</v>
      </c>
      <c r="D10" s="1746" t="s">
        <v>1627</v>
      </c>
      <c r="E10" s="1746"/>
      <c r="F10" s="172"/>
      <c r="G10" s="1747">
        <f>IF(H6="X"," ",+'FORM 1040-5'!D34*'FORM 1040-5'!D42)</f>
        <v>0</v>
      </c>
      <c r="H10" s="1747"/>
      <c r="I10" s="1747"/>
      <c r="J10" s="1747"/>
      <c r="K10" s="40"/>
      <c r="U10" s="40"/>
      <c r="V10" s="40"/>
      <c r="W10" s="40"/>
      <c r="X10" s="40"/>
      <c r="Y10" s="40"/>
      <c r="Z10" s="40"/>
    </row>
    <row r="11" spans="1:26" ht="6" customHeight="1" thickTop="1">
      <c r="B11" s="40"/>
      <c r="C11" s="207"/>
      <c r="D11" s="208"/>
      <c r="E11" s="208"/>
      <c r="F11" s="172"/>
      <c r="G11" s="209"/>
      <c r="H11" s="209"/>
      <c r="I11" s="209"/>
      <c r="J11" s="7"/>
      <c r="K11" s="40"/>
      <c r="U11" s="40"/>
      <c r="V11" s="40"/>
      <c r="W11" s="40"/>
      <c r="X11" s="40"/>
      <c r="Y11" s="40"/>
      <c r="Z11" s="40"/>
    </row>
    <row r="12" spans="1:26" ht="14.1" customHeight="1" thickBot="1">
      <c r="B12" s="40"/>
      <c r="C12" s="85" t="s">
        <v>64</v>
      </c>
      <c r="D12" s="1746" t="s">
        <v>590</v>
      </c>
      <c r="E12" s="1746"/>
      <c r="F12" s="8"/>
      <c r="G12" s="1751">
        <f>IF(H6="X"," ",'FORM 1040-11'!D44)</f>
        <v>0</v>
      </c>
      <c r="H12" s="1751"/>
      <c r="I12" s="1751"/>
      <c r="J12" s="1751"/>
      <c r="K12" s="4" t="s">
        <v>411</v>
      </c>
      <c r="M12" s="40"/>
      <c r="N12" s="40"/>
      <c r="U12" s="40"/>
      <c r="V12" s="40"/>
      <c r="W12" s="40"/>
      <c r="X12" s="40"/>
      <c r="Y12" s="40"/>
      <c r="Z12" s="40"/>
    </row>
    <row r="13" spans="1:26" ht="6" customHeight="1" thickTop="1">
      <c r="B13" s="40"/>
      <c r="C13" s="207"/>
      <c r="D13" s="210"/>
      <c r="E13" s="210"/>
      <c r="F13" s="8"/>
      <c r="G13" s="211"/>
      <c r="H13" s="211"/>
      <c r="I13" s="211"/>
      <c r="J13" s="212"/>
      <c r="M13" s="40"/>
      <c r="N13" s="40"/>
      <c r="U13" s="40"/>
      <c r="V13" s="40"/>
      <c r="W13" s="40"/>
      <c r="X13" s="40"/>
      <c r="Y13" s="40"/>
      <c r="Z13" s="40"/>
    </row>
    <row r="14" spans="1:26" ht="42" customHeight="1" thickBot="1">
      <c r="B14" s="40"/>
      <c r="C14" s="206" t="s">
        <v>67</v>
      </c>
      <c r="D14" s="1746" t="s">
        <v>2822</v>
      </c>
      <c r="E14" s="1746"/>
      <c r="F14" s="172"/>
      <c r="G14" s="1750" t="str">
        <f>IF(ISERROR(G10/G12),"",G10/G12)</f>
        <v/>
      </c>
      <c r="H14" s="1750"/>
      <c r="I14" s="1750"/>
      <c r="J14" s="1750"/>
      <c r="K14" s="40"/>
      <c r="M14" s="40"/>
      <c r="N14" s="40"/>
      <c r="U14" s="40"/>
      <c r="V14" s="40"/>
      <c r="W14" s="40"/>
      <c r="X14" s="40"/>
      <c r="Y14" s="40"/>
      <c r="Z14" s="40"/>
    </row>
    <row r="15" spans="1:26" ht="6" customHeight="1" thickTop="1">
      <c r="B15" s="12"/>
      <c r="C15" s="12"/>
      <c r="G15" s="85"/>
      <c r="H15" s="85"/>
      <c r="I15" s="85"/>
      <c r="J15" s="85"/>
      <c r="K15" s="40"/>
      <c r="M15" s="40"/>
      <c r="N15" s="40"/>
      <c r="U15" s="40"/>
      <c r="V15" s="40"/>
      <c r="W15" s="40"/>
      <c r="X15" s="40"/>
      <c r="Y15" s="40"/>
      <c r="Z15" s="40"/>
    </row>
    <row r="16" spans="1:26" ht="29.45" customHeight="1">
      <c r="B16" s="206"/>
      <c r="C16" s="206" t="s">
        <v>101</v>
      </c>
      <c r="D16" s="1753" t="s">
        <v>2823</v>
      </c>
      <c r="E16" s="1753"/>
      <c r="F16" s="1753"/>
      <c r="G16" s="1753"/>
      <c r="H16" s="1753"/>
      <c r="I16" s="1753"/>
      <c r="J16" s="1753"/>
      <c r="K16" s="1753"/>
      <c r="L16" s="214"/>
      <c r="M16" s="214"/>
    </row>
    <row r="17" spans="2:26" ht="12" customHeight="1">
      <c r="B17" s="12"/>
      <c r="C17" s="12"/>
      <c r="G17" s="85"/>
      <c r="H17" s="85"/>
      <c r="I17" s="85"/>
      <c r="J17" s="85"/>
      <c r="K17" s="40"/>
      <c r="M17" s="40"/>
      <c r="N17" s="40"/>
      <c r="U17" s="40"/>
      <c r="V17" s="40"/>
      <c r="W17" s="40"/>
      <c r="X17" s="40"/>
      <c r="Y17" s="40"/>
      <c r="Z17" s="40"/>
    </row>
    <row r="18" spans="2:26" ht="14.1" customHeight="1">
      <c r="B18" s="85" t="str">
        <f>"2."</f>
        <v>2.</v>
      </c>
      <c r="C18" s="1694" t="s">
        <v>412</v>
      </c>
      <c r="D18" s="1694"/>
      <c r="E18" s="1694"/>
      <c r="F18" s="1694"/>
      <c r="G18" s="1694"/>
      <c r="H18" s="1694"/>
      <c r="I18" s="1694"/>
      <c r="J18" s="1694"/>
      <c r="K18" s="1694"/>
      <c r="L18" s="642"/>
      <c r="M18" s="40"/>
      <c r="N18" s="40"/>
      <c r="U18" s="40"/>
      <c r="V18" s="40"/>
      <c r="W18" s="40"/>
      <c r="X18" s="40"/>
      <c r="Y18" s="40"/>
      <c r="Z18" s="40"/>
    </row>
    <row r="19" spans="2:26" ht="6" customHeight="1">
      <c r="B19" s="12"/>
      <c r="C19" s="85"/>
      <c r="G19" s="85"/>
      <c r="H19" s="85"/>
      <c r="I19" s="85"/>
      <c r="J19" s="85"/>
      <c r="K19" s="40"/>
      <c r="M19" s="40"/>
      <c r="N19" s="40"/>
      <c r="U19" s="40"/>
      <c r="V19" s="40"/>
      <c r="W19" s="40"/>
      <c r="X19" s="40"/>
      <c r="Y19" s="40"/>
      <c r="Z19" s="40"/>
    </row>
    <row r="20" spans="2:26" ht="28.15" customHeight="1" thickBot="1">
      <c r="B20" s="40"/>
      <c r="C20" s="206" t="s">
        <v>63</v>
      </c>
      <c r="D20" s="1746" t="s">
        <v>1628</v>
      </c>
      <c r="E20" s="1746"/>
      <c r="F20" s="172"/>
      <c r="G20" s="1747">
        <f>IF(H6="X"," ",+'FORM 1040-5'!D34)</f>
        <v>0</v>
      </c>
      <c r="H20" s="1747"/>
      <c r="I20" s="1747"/>
      <c r="J20" s="1747"/>
      <c r="K20" s="40"/>
      <c r="M20" s="40"/>
      <c r="N20" s="40"/>
      <c r="U20" s="40"/>
      <c r="V20" s="40"/>
      <c r="W20" s="40"/>
      <c r="X20" s="40"/>
      <c r="Y20" s="40"/>
      <c r="Z20" s="40"/>
    </row>
    <row r="21" spans="2:26" ht="6" customHeight="1" thickTop="1">
      <c r="B21" s="40"/>
      <c r="C21" s="207"/>
      <c r="D21" s="208"/>
      <c r="E21" s="208"/>
      <c r="F21" s="172"/>
      <c r="G21" s="209"/>
      <c r="H21" s="209"/>
      <c r="I21" s="209"/>
      <c r="J21" s="7"/>
      <c r="K21" s="40"/>
      <c r="M21" s="40"/>
      <c r="N21" s="40"/>
      <c r="U21" s="40"/>
      <c r="V21" s="40"/>
      <c r="W21" s="40"/>
      <c r="X21" s="40"/>
      <c r="Y21" s="40"/>
      <c r="Z21" s="40"/>
    </row>
    <row r="22" spans="2:26" ht="42" customHeight="1" thickBot="1">
      <c r="B22" s="213"/>
      <c r="C22" s="206" t="s">
        <v>64</v>
      </c>
      <c r="D22" s="1746" t="s">
        <v>1631</v>
      </c>
      <c r="E22" s="1746"/>
      <c r="F22" s="172"/>
      <c r="G22" s="1747">
        <f>IF(H6="X"," ",G35)</f>
        <v>0</v>
      </c>
      <c r="H22" s="1747"/>
      <c r="I22" s="1747"/>
      <c r="J22" s="1747"/>
      <c r="K22" s="40"/>
      <c r="M22" s="40"/>
      <c r="N22" s="40"/>
      <c r="U22" s="40"/>
      <c r="V22" s="40"/>
      <c r="W22" s="40"/>
      <c r="X22" s="40"/>
      <c r="Y22" s="40"/>
      <c r="Z22" s="40"/>
    </row>
    <row r="23" spans="2:26" ht="6" customHeight="1" thickTop="1">
      <c r="B23" s="213"/>
      <c r="C23" s="207"/>
      <c r="D23" s="208" t="s">
        <v>41</v>
      </c>
      <c r="E23" s="208"/>
      <c r="F23" s="172"/>
      <c r="G23" s="209"/>
      <c r="H23" s="209"/>
      <c r="I23" s="209"/>
      <c r="J23" s="7"/>
      <c r="K23" s="40"/>
      <c r="M23" s="40"/>
      <c r="N23" s="40"/>
      <c r="U23" s="40"/>
      <c r="V23" s="40"/>
      <c r="W23" s="40"/>
      <c r="X23" s="40"/>
      <c r="Y23" s="40"/>
      <c r="Z23" s="40"/>
    </row>
    <row r="24" spans="2:26" ht="42" customHeight="1" thickBot="1">
      <c r="B24" s="40"/>
      <c r="C24" s="206" t="s">
        <v>67</v>
      </c>
      <c r="D24" s="1746" t="s">
        <v>2373</v>
      </c>
      <c r="E24" s="1746"/>
      <c r="F24" s="172"/>
      <c r="G24" s="1748" t="str">
        <f>IF(ISERROR(G20/G22),"",G20/G22)</f>
        <v/>
      </c>
      <c r="H24" s="1748"/>
      <c r="I24" s="1748"/>
      <c r="J24" s="1748"/>
      <c r="K24" s="40"/>
      <c r="M24" s="40"/>
      <c r="N24" s="40"/>
      <c r="U24" s="40"/>
      <c r="V24" s="40"/>
      <c r="W24" s="40"/>
      <c r="X24" s="40"/>
      <c r="Y24" s="40"/>
      <c r="Z24" s="40"/>
    </row>
    <row r="25" spans="2:26" ht="12" customHeight="1" thickTop="1">
      <c r="D25" s="4" t="s">
        <v>41</v>
      </c>
    </row>
    <row r="26" spans="2:26" ht="42" customHeight="1">
      <c r="B26" s="206" t="s">
        <v>102</v>
      </c>
      <c r="C26" s="1752" t="s">
        <v>1630</v>
      </c>
      <c r="D26" s="1752"/>
      <c r="E26" s="1752"/>
      <c r="F26" s="1752"/>
      <c r="G26" s="1752"/>
      <c r="H26" s="1752"/>
      <c r="I26" s="1752"/>
      <c r="J26" s="1752"/>
      <c r="K26" s="1752"/>
      <c r="L26" s="266"/>
      <c r="M26" s="40"/>
    </row>
    <row r="27" spans="2:26" ht="12" customHeight="1">
      <c r="B27" s="81"/>
      <c r="C27" s="81"/>
      <c r="D27" s="202"/>
      <c r="E27" s="202"/>
      <c r="F27" s="157"/>
      <c r="J27" s="40"/>
      <c r="K27" s="40"/>
      <c r="L27" s="40"/>
      <c r="M27" s="40"/>
      <c r="N27" s="40"/>
      <c r="O27" s="40"/>
      <c r="P27" s="40"/>
      <c r="Q27" s="40"/>
      <c r="R27" s="40"/>
      <c r="S27" s="40"/>
      <c r="T27" s="40"/>
      <c r="U27" s="40"/>
      <c r="V27" s="40"/>
      <c r="W27" s="40"/>
      <c r="X27" s="40"/>
      <c r="Y27" s="40"/>
      <c r="Z27" s="40"/>
    </row>
    <row r="28" spans="2:26" ht="15" customHeight="1" thickBot="1">
      <c r="C28" s="1749" t="s">
        <v>98</v>
      </c>
      <c r="D28" s="1749"/>
      <c r="E28" s="1749"/>
      <c r="F28" s="40"/>
      <c r="G28" s="1749" t="s">
        <v>99</v>
      </c>
      <c r="H28" s="1749"/>
      <c r="I28" s="1749"/>
      <c r="J28" s="1749"/>
      <c r="K28" s="40"/>
      <c r="L28" s="40"/>
      <c r="M28" s="40"/>
    </row>
    <row r="29" spans="2:26" ht="18.95" customHeight="1" thickTop="1" thickBot="1">
      <c r="C29" s="1605"/>
      <c r="D29" s="1605"/>
      <c r="E29" s="1605"/>
      <c r="F29" s="209"/>
      <c r="G29" s="1745"/>
      <c r="H29" s="1745"/>
      <c r="I29" s="1745"/>
      <c r="J29" s="1745"/>
      <c r="K29" s="40"/>
      <c r="L29" s="40"/>
      <c r="M29" s="40"/>
    </row>
    <row r="30" spans="2:26" ht="18.95" customHeight="1" thickTop="1" thickBot="1">
      <c r="C30" s="1650"/>
      <c r="D30" s="1650"/>
      <c r="E30" s="1650"/>
      <c r="F30" s="209"/>
      <c r="G30" s="1745"/>
      <c r="H30" s="1745"/>
      <c r="I30" s="1745"/>
      <c r="J30" s="1745"/>
      <c r="K30" s="40"/>
      <c r="L30" s="40"/>
      <c r="M30" s="40"/>
    </row>
    <row r="31" spans="2:26" ht="18.95" customHeight="1" thickTop="1" thickBot="1">
      <c r="B31" s="645"/>
      <c r="C31" s="1650"/>
      <c r="D31" s="1650"/>
      <c r="E31" s="1650"/>
      <c r="F31" s="209"/>
      <c r="G31" s="1745"/>
      <c r="H31" s="1745"/>
      <c r="I31" s="1745"/>
      <c r="J31" s="1745"/>
      <c r="K31" s="40"/>
      <c r="L31" s="40"/>
      <c r="M31" s="40"/>
      <c r="N31" s="645"/>
      <c r="O31" s="645"/>
      <c r="P31" s="645"/>
      <c r="Q31" s="645"/>
      <c r="R31" s="645"/>
      <c r="S31" s="645"/>
      <c r="T31" s="645"/>
      <c r="U31" s="645"/>
      <c r="V31" s="645"/>
      <c r="W31" s="645"/>
      <c r="X31" s="645"/>
      <c r="Y31" s="645"/>
      <c r="Z31" s="645"/>
    </row>
    <row r="32" spans="2:26" ht="18.95" customHeight="1" thickTop="1" thickBot="1">
      <c r="B32" s="645"/>
      <c r="C32" s="1650"/>
      <c r="D32" s="1650"/>
      <c r="E32" s="1650"/>
      <c r="F32" s="209"/>
      <c r="G32" s="1745"/>
      <c r="H32" s="1745"/>
      <c r="I32" s="1745"/>
      <c r="J32" s="1745"/>
      <c r="K32" s="40"/>
      <c r="L32" s="40"/>
      <c r="M32" s="40"/>
      <c r="N32" s="645"/>
      <c r="O32" s="645"/>
      <c r="P32" s="645"/>
      <c r="Q32" s="645"/>
      <c r="R32" s="645"/>
      <c r="S32" s="645"/>
      <c r="T32" s="645"/>
      <c r="U32" s="645"/>
      <c r="V32" s="645"/>
      <c r="W32" s="645"/>
      <c r="X32" s="645"/>
      <c r="Y32" s="645"/>
      <c r="Z32" s="645"/>
    </row>
    <row r="33" spans="1:13" ht="18.95" customHeight="1" thickTop="1" thickBot="1">
      <c r="C33" s="1650"/>
      <c r="D33" s="1650"/>
      <c r="E33" s="1650"/>
      <c r="F33" s="209"/>
      <c r="G33" s="1744"/>
      <c r="H33" s="1744"/>
      <c r="I33" s="1744"/>
      <c r="J33" s="1744"/>
      <c r="K33" s="40"/>
      <c r="L33" s="40"/>
      <c r="M33" s="40"/>
    </row>
    <row r="34" spans="1:13" ht="18.95" customHeight="1" thickTop="1" thickBot="1">
      <c r="C34" s="1650"/>
      <c r="D34" s="1650"/>
      <c r="E34" s="1650"/>
      <c r="F34" s="209"/>
      <c r="G34" s="1745"/>
      <c r="H34" s="1745"/>
      <c r="I34" s="1745"/>
      <c r="J34" s="1745"/>
      <c r="K34" s="40"/>
      <c r="L34" s="40"/>
      <c r="M34" s="40"/>
    </row>
    <row r="35" spans="1:13" ht="20.100000000000001" customHeight="1" thickTop="1" thickBot="1">
      <c r="C35" s="1755" t="s">
        <v>100</v>
      </c>
      <c r="D35" s="1755"/>
      <c r="E35" s="1755"/>
      <c r="F35" s="209"/>
      <c r="G35" s="1754">
        <f>IF(H6="X"," ",SUM(G29:G34))</f>
        <v>0</v>
      </c>
      <c r="H35" s="1754"/>
      <c r="I35" s="1754"/>
      <c r="J35" s="1754"/>
      <c r="K35" s="40"/>
      <c r="L35" s="40"/>
      <c r="M35" s="40"/>
    </row>
    <row r="36" spans="1:13" s="4" customFormat="1" ht="12" customHeight="1" thickTop="1">
      <c r="A36" s="645"/>
    </row>
    <row r="37" spans="1:13" s="4" customFormat="1" ht="14.1" customHeight="1">
      <c r="A37" s="645"/>
      <c r="B37" s="85" t="str">
        <f>"3."</f>
        <v>3.</v>
      </c>
      <c r="C37" s="1694" t="s">
        <v>1617</v>
      </c>
      <c r="D37" s="1694"/>
      <c r="E37" s="1694"/>
      <c r="F37" s="1694"/>
      <c r="G37" s="1694"/>
      <c r="H37" s="1694"/>
      <c r="I37" s="1694"/>
      <c r="J37" s="1694"/>
      <c r="K37" s="1694"/>
      <c r="L37" s="642"/>
    </row>
    <row r="38" spans="1:13" s="4" customFormat="1" ht="6" customHeight="1">
      <c r="A38" s="645"/>
    </row>
    <row r="39" spans="1:13" s="4" customFormat="1" ht="28.15" customHeight="1" thickBot="1">
      <c r="A39" s="645"/>
      <c r="C39" s="206" t="s">
        <v>63</v>
      </c>
      <c r="D39" s="1746" t="s">
        <v>1629</v>
      </c>
      <c r="E39" s="1746"/>
      <c r="F39" s="172"/>
      <c r="G39" s="1747">
        <f>IF(H6="X"," ",+'FORM 1040-3'!F18)</f>
        <v>0</v>
      </c>
      <c r="H39" s="1747"/>
      <c r="I39" s="1747"/>
      <c r="J39" s="1747"/>
    </row>
    <row r="40" spans="1:13" s="4" customFormat="1" ht="6" customHeight="1" thickTop="1">
      <c r="A40" s="645"/>
      <c r="C40" s="85"/>
      <c r="D40" s="40"/>
      <c r="J40" s="7"/>
    </row>
    <row r="41" spans="1:13" s="4" customFormat="1" ht="14.1" customHeight="1" thickBot="1">
      <c r="A41" s="645"/>
      <c r="C41" s="85" t="s">
        <v>64</v>
      </c>
      <c r="D41" s="1746" t="s">
        <v>2374</v>
      </c>
      <c r="E41" s="1756"/>
      <c r="F41" s="8"/>
      <c r="G41" s="1751">
        <f>IF(H6="X"," ",+'FORM 1040-2'!C42)</f>
        <v>0</v>
      </c>
      <c r="H41" s="1751"/>
      <c r="I41" s="1751"/>
      <c r="J41" s="1751"/>
      <c r="K41" s="4" t="s">
        <v>411</v>
      </c>
    </row>
    <row r="42" spans="1:13" s="4" customFormat="1" ht="6" customHeight="1" thickTop="1">
      <c r="A42" s="645"/>
      <c r="C42" s="206"/>
      <c r="D42" s="210"/>
      <c r="E42" s="210"/>
      <c r="F42" s="8"/>
      <c r="G42" s="211"/>
      <c r="H42" s="211"/>
      <c r="I42" s="211"/>
      <c r="J42" s="212"/>
    </row>
    <row r="43" spans="1:13" ht="53.1" customHeight="1" thickBot="1">
      <c r="B43" s="40"/>
      <c r="C43" s="206" t="s">
        <v>67</v>
      </c>
      <c r="D43" s="1746" t="s">
        <v>2375</v>
      </c>
      <c r="E43" s="1746"/>
      <c r="F43" s="172"/>
      <c r="G43" s="1750" t="str">
        <f>IF(ISERROR(G39/G41),"",G39/G41)</f>
        <v/>
      </c>
      <c r="H43" s="1750"/>
      <c r="I43" s="1750"/>
      <c r="J43" s="1750"/>
      <c r="K43" s="40"/>
      <c r="L43" s="40"/>
      <c r="M43" s="40"/>
    </row>
    <row r="44" spans="1:13" ht="15.95" customHeight="1" thickTop="1">
      <c r="B44" s="40"/>
      <c r="C44" s="40"/>
      <c r="D44" s="40"/>
      <c r="E44" s="40"/>
      <c r="F44" s="40"/>
      <c r="G44" s="40"/>
      <c r="H44" s="40"/>
      <c r="I44" s="40"/>
      <c r="K44" s="40"/>
      <c r="L44" s="40"/>
      <c r="M44" s="40"/>
    </row>
    <row r="45" spans="1:13" ht="15.95" customHeight="1">
      <c r="B45" s="40"/>
      <c r="C45" s="40"/>
      <c r="D45" s="40"/>
      <c r="E45" s="40"/>
      <c r="F45" s="40"/>
      <c r="G45" s="40"/>
      <c r="H45" s="40"/>
      <c r="I45" s="40"/>
      <c r="K45" s="40"/>
      <c r="L45" s="40"/>
      <c r="M45" s="40"/>
    </row>
    <row r="46" spans="1:13" ht="15.95" customHeight="1">
      <c r="B46" s="40"/>
      <c r="C46" s="40"/>
      <c r="D46" s="40"/>
      <c r="E46" s="40"/>
      <c r="F46" s="40"/>
      <c r="G46" s="40"/>
      <c r="H46" s="40"/>
      <c r="I46" s="40"/>
      <c r="K46" s="40"/>
      <c r="L46" s="40"/>
      <c r="M46" s="40"/>
    </row>
    <row r="47" spans="1:13" ht="15.95" customHeight="1">
      <c r="B47" s="40"/>
      <c r="D47" s="40"/>
      <c r="E47" s="40"/>
      <c r="F47" s="40"/>
      <c r="G47" s="40"/>
      <c r="H47" s="40"/>
      <c r="I47" s="40"/>
      <c r="K47" s="40"/>
      <c r="L47" s="40"/>
      <c r="M47" s="40"/>
    </row>
    <row r="48" spans="1:13" ht="15.95" customHeight="1">
      <c r="B48" s="40"/>
      <c r="C48" s="40"/>
      <c r="D48" s="40"/>
      <c r="E48" s="40"/>
      <c r="F48" s="40"/>
      <c r="G48" s="40"/>
      <c r="H48" s="40"/>
      <c r="I48" s="40"/>
      <c r="K48" s="40"/>
      <c r="L48" s="40"/>
      <c r="M48" s="40"/>
    </row>
    <row r="49" spans="2:13" ht="15.95" customHeight="1">
      <c r="B49" s="40"/>
      <c r="C49" s="40"/>
      <c r="D49" s="40"/>
      <c r="E49" s="40"/>
      <c r="F49" s="40"/>
      <c r="J49" s="40"/>
      <c r="K49" s="40"/>
      <c r="L49" s="40"/>
      <c r="M49" s="40"/>
    </row>
    <row r="50" spans="2:13" ht="15" customHeight="1">
      <c r="B50" s="40"/>
      <c r="C50" s="40"/>
      <c r="D50" s="40"/>
      <c r="E50" s="40"/>
      <c r="F50" s="40"/>
      <c r="J50" s="40"/>
      <c r="K50" s="40"/>
      <c r="L50" s="40"/>
      <c r="M50" s="40"/>
    </row>
    <row r="51" spans="2:13" ht="15" customHeight="1">
      <c r="B51" s="40"/>
      <c r="C51" s="40"/>
      <c r="D51" s="40"/>
      <c r="E51" s="40"/>
      <c r="F51" s="40"/>
      <c r="G51" s="40"/>
      <c r="H51" s="40"/>
      <c r="I51" s="40"/>
      <c r="J51" s="40"/>
      <c r="K51" s="40"/>
      <c r="L51" s="40"/>
      <c r="M51" s="40"/>
    </row>
    <row r="52" spans="2:13" ht="15" customHeight="1">
      <c r="B52" s="40"/>
      <c r="C52" s="40"/>
      <c r="D52" s="40"/>
      <c r="E52" s="40"/>
      <c r="F52" s="40"/>
      <c r="G52" s="40"/>
      <c r="H52" s="40"/>
      <c r="I52" s="40"/>
      <c r="J52" s="40"/>
      <c r="K52" s="40"/>
      <c r="L52" s="40"/>
      <c r="M52" s="40"/>
    </row>
    <row r="53" spans="2:13">
      <c r="B53" s="40"/>
      <c r="C53" s="40"/>
      <c r="D53" s="40"/>
      <c r="E53" s="40"/>
      <c r="F53" s="40"/>
      <c r="G53" s="40"/>
      <c r="H53" s="40"/>
      <c r="I53" s="40"/>
      <c r="J53" s="40"/>
      <c r="K53" s="40"/>
      <c r="L53" s="40"/>
      <c r="M53" s="40"/>
    </row>
    <row r="54" spans="2:13">
      <c r="B54" s="40"/>
      <c r="C54" s="40"/>
      <c r="D54" s="40"/>
      <c r="E54" s="40"/>
      <c r="F54" s="40"/>
      <c r="G54" s="40"/>
      <c r="H54" s="40"/>
      <c r="I54" s="40"/>
      <c r="J54" s="40"/>
      <c r="K54" s="40"/>
      <c r="L54" s="40"/>
      <c r="M54" s="40"/>
    </row>
    <row r="55" spans="2:13">
      <c r="B55" s="40"/>
      <c r="C55" s="40"/>
      <c r="D55" s="40"/>
      <c r="E55" s="40"/>
      <c r="F55" s="40"/>
      <c r="G55" s="40"/>
      <c r="H55" s="40"/>
      <c r="I55" s="40"/>
      <c r="J55" s="40"/>
      <c r="K55" s="40"/>
      <c r="L55" s="40"/>
      <c r="M55" s="40"/>
    </row>
    <row r="56" spans="2:13">
      <c r="B56" s="40"/>
      <c r="C56" s="40"/>
      <c r="D56" s="40"/>
      <c r="E56" s="40"/>
      <c r="F56" s="40"/>
      <c r="G56" s="40"/>
      <c r="H56" s="40"/>
      <c r="I56" s="40"/>
      <c r="J56" s="40"/>
      <c r="K56" s="40"/>
      <c r="L56" s="40"/>
      <c r="M56" s="40"/>
    </row>
    <row r="57" spans="2:13">
      <c r="B57" s="40"/>
      <c r="C57" s="40"/>
      <c r="D57" s="40"/>
      <c r="E57" s="40"/>
      <c r="F57" s="40"/>
      <c r="G57" s="40"/>
      <c r="H57" s="40"/>
      <c r="I57" s="40"/>
      <c r="J57" s="40"/>
      <c r="K57" s="40"/>
      <c r="L57" s="40"/>
      <c r="M57" s="40"/>
    </row>
    <row r="58" spans="2:13">
      <c r="B58" s="40"/>
      <c r="C58" s="40"/>
      <c r="D58" s="40"/>
      <c r="E58" s="40"/>
      <c r="F58" s="40"/>
      <c r="G58" s="40"/>
      <c r="H58" s="40"/>
      <c r="I58" s="40"/>
      <c r="J58" s="40"/>
      <c r="K58" s="40"/>
      <c r="L58" s="40"/>
      <c r="M58" s="40"/>
    </row>
    <row r="59" spans="2:13">
      <c r="B59" s="40"/>
      <c r="C59" s="40"/>
      <c r="D59" s="40"/>
      <c r="E59" s="40"/>
      <c r="F59" s="40"/>
      <c r="G59" s="40"/>
      <c r="H59" s="40"/>
      <c r="I59" s="40"/>
      <c r="J59" s="40"/>
      <c r="K59" s="40"/>
      <c r="L59" s="40"/>
      <c r="M59" s="40"/>
    </row>
    <row r="60" spans="2:13">
      <c r="B60" s="40"/>
      <c r="C60" s="40"/>
      <c r="D60" s="40"/>
      <c r="E60" s="40"/>
      <c r="F60" s="40"/>
      <c r="G60" s="40"/>
      <c r="H60" s="40"/>
      <c r="I60" s="40"/>
      <c r="J60" s="40"/>
      <c r="K60" s="40"/>
      <c r="L60" s="40"/>
      <c r="M60" s="40"/>
    </row>
    <row r="61" spans="2:13">
      <c r="B61" s="40"/>
      <c r="C61" s="40"/>
      <c r="D61" s="40"/>
      <c r="E61" s="40"/>
      <c r="F61" s="40"/>
      <c r="G61" s="40"/>
      <c r="H61" s="40"/>
      <c r="I61" s="40"/>
      <c r="J61" s="40"/>
      <c r="K61" s="40"/>
      <c r="L61" s="40"/>
      <c r="M61" s="40"/>
    </row>
    <row r="62" spans="2:13">
      <c r="B62" s="40"/>
      <c r="C62" s="40"/>
      <c r="D62" s="40"/>
      <c r="E62" s="40"/>
      <c r="F62" s="40"/>
      <c r="G62" s="40"/>
      <c r="H62" s="40"/>
      <c r="I62" s="40"/>
      <c r="J62" s="40"/>
      <c r="K62" s="40"/>
      <c r="L62" s="40"/>
      <c r="M62" s="40"/>
    </row>
    <row r="63" spans="2:13">
      <c r="B63" s="40"/>
      <c r="C63" s="40"/>
      <c r="D63" s="40"/>
      <c r="E63" s="40"/>
      <c r="F63" s="40"/>
      <c r="G63" s="40"/>
      <c r="H63" s="40"/>
      <c r="I63" s="40"/>
      <c r="J63" s="40"/>
      <c r="K63" s="40"/>
      <c r="L63" s="40"/>
      <c r="M63" s="40"/>
    </row>
    <row r="64" spans="2:13">
      <c r="B64" s="40"/>
      <c r="C64" s="40"/>
      <c r="D64" s="40"/>
      <c r="E64" s="40"/>
      <c r="F64" s="40"/>
      <c r="G64" s="40"/>
      <c r="H64" s="40"/>
      <c r="I64" s="40"/>
      <c r="J64" s="40"/>
      <c r="K64" s="40"/>
      <c r="L64" s="40"/>
      <c r="M64" s="40"/>
    </row>
    <row r="65" spans="2:13">
      <c r="B65" s="40"/>
      <c r="C65" s="40"/>
      <c r="D65" s="40"/>
      <c r="E65" s="40"/>
      <c r="F65" s="40"/>
      <c r="G65" s="40"/>
      <c r="H65" s="40"/>
      <c r="I65" s="40"/>
      <c r="J65" s="40"/>
      <c r="K65" s="40"/>
      <c r="L65" s="40"/>
      <c r="M65" s="40"/>
    </row>
    <row r="66" spans="2:13">
      <c r="B66" s="40"/>
      <c r="C66" s="40"/>
      <c r="D66" s="40"/>
      <c r="E66" s="40"/>
      <c r="F66" s="40"/>
      <c r="G66" s="40"/>
      <c r="H66" s="40"/>
      <c r="I66" s="40"/>
      <c r="J66" s="40"/>
      <c r="K66" s="40"/>
      <c r="L66" s="40"/>
      <c r="M66" s="40"/>
    </row>
    <row r="67" spans="2:13">
      <c r="B67" s="40"/>
      <c r="C67" s="40"/>
      <c r="D67" s="40"/>
      <c r="E67" s="40"/>
      <c r="F67" s="40"/>
      <c r="G67" s="40"/>
      <c r="H67" s="40"/>
      <c r="I67" s="40"/>
      <c r="J67" s="40"/>
      <c r="K67" s="40"/>
      <c r="L67" s="40"/>
      <c r="M67" s="40"/>
    </row>
    <row r="68" spans="2:13">
      <c r="B68" s="40"/>
      <c r="C68" s="40"/>
      <c r="D68" s="40"/>
      <c r="E68" s="40"/>
      <c r="F68" s="40"/>
      <c r="G68" s="40"/>
      <c r="H68" s="40"/>
      <c r="I68" s="40"/>
      <c r="J68" s="40"/>
      <c r="K68" s="40"/>
      <c r="L68" s="40"/>
      <c r="M68" s="40"/>
    </row>
    <row r="69" spans="2:13">
      <c r="B69" s="40"/>
      <c r="C69" s="40"/>
      <c r="D69" s="40"/>
      <c r="E69" s="40"/>
      <c r="F69" s="40"/>
      <c r="G69" s="40"/>
      <c r="H69" s="40"/>
      <c r="I69" s="40"/>
      <c r="J69" s="40"/>
      <c r="K69" s="40"/>
      <c r="L69" s="40"/>
      <c r="M69" s="40"/>
    </row>
    <row r="70" spans="2:13">
      <c r="B70" s="40"/>
      <c r="C70" s="40"/>
      <c r="D70" s="40"/>
      <c r="E70" s="40"/>
      <c r="F70" s="40"/>
      <c r="G70" s="40"/>
      <c r="H70" s="40"/>
      <c r="I70" s="40"/>
      <c r="J70" s="40"/>
      <c r="K70" s="40"/>
      <c r="L70" s="40"/>
      <c r="M70" s="40"/>
    </row>
    <row r="71" spans="2:13">
      <c r="B71" s="40"/>
      <c r="C71" s="40"/>
      <c r="D71" s="40"/>
      <c r="E71" s="40"/>
      <c r="F71" s="40"/>
      <c r="G71" s="40"/>
      <c r="H71" s="40"/>
      <c r="I71" s="40"/>
      <c r="J71" s="40"/>
      <c r="K71" s="40"/>
      <c r="L71" s="40"/>
      <c r="M71" s="40"/>
    </row>
    <row r="72" spans="2:13">
      <c r="B72" s="40"/>
      <c r="C72" s="40"/>
      <c r="D72" s="40"/>
      <c r="E72" s="40"/>
      <c r="F72" s="40"/>
      <c r="G72" s="40"/>
      <c r="H72" s="40"/>
      <c r="I72" s="40"/>
      <c r="J72" s="40"/>
      <c r="K72" s="40"/>
      <c r="L72" s="40"/>
      <c r="M72" s="40"/>
    </row>
    <row r="73" spans="2:13">
      <c r="B73" s="40"/>
      <c r="C73" s="40"/>
      <c r="D73" s="40"/>
      <c r="E73" s="40"/>
      <c r="F73" s="40"/>
      <c r="G73" s="40"/>
      <c r="H73" s="40"/>
      <c r="I73" s="40"/>
      <c r="J73" s="40"/>
      <c r="K73" s="40"/>
      <c r="L73" s="40"/>
      <c r="M73" s="40"/>
    </row>
    <row r="74" spans="2:13">
      <c r="B74" s="40"/>
      <c r="C74" s="40"/>
      <c r="D74" s="40"/>
      <c r="E74" s="40"/>
      <c r="F74" s="40"/>
      <c r="G74" s="40"/>
      <c r="H74" s="40"/>
      <c r="I74" s="40"/>
      <c r="J74" s="40"/>
      <c r="K74" s="40"/>
      <c r="L74" s="40"/>
      <c r="M74" s="40"/>
    </row>
    <row r="75" spans="2:13">
      <c r="B75" s="40"/>
      <c r="C75" s="40"/>
      <c r="D75" s="40"/>
      <c r="E75" s="40"/>
      <c r="F75" s="40"/>
      <c r="G75" s="40"/>
      <c r="H75" s="40"/>
      <c r="I75" s="40"/>
      <c r="J75" s="40"/>
      <c r="K75" s="40"/>
      <c r="L75" s="40"/>
      <c r="M75" s="40"/>
    </row>
    <row r="76" spans="2:13">
      <c r="B76" s="40"/>
      <c r="C76" s="40"/>
      <c r="D76" s="40"/>
      <c r="E76" s="40"/>
      <c r="F76" s="40"/>
      <c r="G76" s="40"/>
      <c r="H76" s="40"/>
      <c r="I76" s="40"/>
      <c r="J76" s="40"/>
      <c r="K76" s="40"/>
      <c r="L76" s="40"/>
      <c r="M76" s="40"/>
    </row>
    <row r="77" spans="2:13">
      <c r="B77" s="40"/>
      <c r="C77" s="40"/>
      <c r="D77" s="40"/>
      <c r="E77" s="40"/>
      <c r="F77" s="40"/>
      <c r="G77" s="40"/>
      <c r="H77" s="40"/>
      <c r="I77" s="40"/>
      <c r="J77" s="40"/>
      <c r="K77" s="40"/>
      <c r="L77" s="40"/>
      <c r="M77" s="40"/>
    </row>
    <row r="78" spans="2:13">
      <c r="B78" s="40"/>
      <c r="C78" s="40"/>
      <c r="D78" s="40"/>
      <c r="E78" s="40"/>
      <c r="F78" s="40"/>
      <c r="G78" s="40"/>
      <c r="H78" s="40"/>
      <c r="I78" s="40"/>
      <c r="J78" s="40"/>
      <c r="K78" s="40"/>
      <c r="L78" s="40"/>
      <c r="M78" s="40"/>
    </row>
    <row r="79" spans="2:13">
      <c r="B79" s="40"/>
      <c r="C79" s="40"/>
      <c r="D79" s="40"/>
      <c r="E79" s="40"/>
      <c r="F79" s="40"/>
      <c r="G79" s="40"/>
      <c r="H79" s="40"/>
      <c r="I79" s="40"/>
      <c r="J79" s="40"/>
      <c r="K79" s="40"/>
      <c r="L79" s="40"/>
      <c r="M79" s="40"/>
    </row>
    <row r="80" spans="2:13">
      <c r="B80" s="40"/>
      <c r="C80" s="40"/>
      <c r="D80" s="40"/>
      <c r="E80" s="40"/>
      <c r="F80" s="40"/>
      <c r="G80" s="40"/>
      <c r="H80" s="40"/>
      <c r="I80" s="40"/>
      <c r="J80" s="40"/>
      <c r="K80" s="40"/>
      <c r="L80" s="40"/>
      <c r="M80" s="40"/>
    </row>
    <row r="81" spans="2:13">
      <c r="B81" s="40"/>
      <c r="C81" s="40"/>
      <c r="D81" s="40"/>
      <c r="E81" s="40"/>
      <c r="F81" s="40"/>
      <c r="G81" s="40"/>
      <c r="H81" s="40"/>
      <c r="I81" s="40"/>
      <c r="J81" s="40"/>
      <c r="K81" s="40"/>
      <c r="L81" s="40"/>
      <c r="M81" s="40"/>
    </row>
    <row r="82" spans="2:13">
      <c r="B82" s="40"/>
      <c r="C82" s="40"/>
      <c r="D82" s="40"/>
      <c r="E82" s="40"/>
      <c r="F82" s="40"/>
      <c r="G82" s="40"/>
      <c r="H82" s="40"/>
      <c r="I82" s="40"/>
      <c r="J82" s="40"/>
      <c r="K82" s="40"/>
      <c r="L82" s="40"/>
      <c r="M82" s="40"/>
    </row>
    <row r="83" spans="2:13">
      <c r="B83" s="40"/>
      <c r="C83" s="40"/>
      <c r="D83" s="40"/>
      <c r="E83" s="40"/>
      <c r="F83" s="40"/>
      <c r="J83" s="40"/>
      <c r="K83" s="40"/>
      <c r="L83" s="40"/>
      <c r="M83" s="40"/>
    </row>
    <row r="84" spans="2:13">
      <c r="B84" s="40"/>
      <c r="C84" s="40"/>
      <c r="D84" s="40"/>
      <c r="E84" s="40"/>
      <c r="F84" s="40"/>
      <c r="J84" s="40"/>
      <c r="K84" s="40"/>
      <c r="L84" s="40"/>
      <c r="M84" s="40"/>
    </row>
    <row r="85" spans="2:13">
      <c r="B85" s="40"/>
      <c r="C85" s="40"/>
      <c r="D85" s="40"/>
      <c r="E85" s="40"/>
      <c r="F85" s="40"/>
      <c r="J85" s="40"/>
      <c r="K85" s="40"/>
      <c r="L85" s="40"/>
      <c r="M85" s="40"/>
    </row>
    <row r="86" spans="2:13">
      <c r="B86" s="40"/>
      <c r="C86" s="40"/>
      <c r="D86" s="40"/>
      <c r="E86" s="40"/>
      <c r="F86" s="40"/>
      <c r="J86" s="40"/>
      <c r="K86" s="40"/>
      <c r="L86" s="40"/>
      <c r="M86" s="40"/>
    </row>
    <row r="87" spans="2:13">
      <c r="B87" s="40"/>
      <c r="C87" s="40"/>
      <c r="D87" s="40"/>
      <c r="E87" s="40"/>
      <c r="F87" s="40"/>
      <c r="J87" s="40"/>
      <c r="K87" s="40"/>
      <c r="L87" s="40"/>
      <c r="M87" s="40"/>
    </row>
    <row r="88" spans="2:13">
      <c r="B88" s="40"/>
      <c r="C88" s="40"/>
      <c r="D88" s="40"/>
      <c r="E88" s="40"/>
      <c r="F88" s="40"/>
      <c r="J88" s="40"/>
      <c r="K88" s="40"/>
      <c r="L88" s="40"/>
      <c r="M88" s="40"/>
    </row>
  </sheetData>
  <sheetProtection algorithmName="SHA-512" hashValue="TBZJp4Gkm5R4zNj32uMeYNjrVjFNwpow2U8y3CqiUc40glIvXJr2c7Xxp8RPqmKLd7rf5hgAd5ZHm7vrDovDrQ==" saltValue="6J8jXtBLCqF67HBXxMWD6A==" spinCount="100000" sheet="1" objects="1" scenarios="1"/>
  <mergeCells count="41">
    <mergeCell ref="D43:E43"/>
    <mergeCell ref="G43:J43"/>
    <mergeCell ref="G34:J34"/>
    <mergeCell ref="G35:J35"/>
    <mergeCell ref="D39:E39"/>
    <mergeCell ref="G39:J39"/>
    <mergeCell ref="C34:E34"/>
    <mergeCell ref="C35:E35"/>
    <mergeCell ref="C37:K37"/>
    <mergeCell ref="D41:E41"/>
    <mergeCell ref="G41:J41"/>
    <mergeCell ref="C32:E32"/>
    <mergeCell ref="B3:K3"/>
    <mergeCell ref="C8:K8"/>
    <mergeCell ref="C5:I5"/>
    <mergeCell ref="D14:E14"/>
    <mergeCell ref="G14:J14"/>
    <mergeCell ref="D10:E10"/>
    <mergeCell ref="G10:J10"/>
    <mergeCell ref="D12:E12"/>
    <mergeCell ref="G12:J12"/>
    <mergeCell ref="C26:K26"/>
    <mergeCell ref="D16:K16"/>
    <mergeCell ref="C18:K18"/>
    <mergeCell ref="G31:J31"/>
    <mergeCell ref="G33:J33"/>
    <mergeCell ref="C33:E33"/>
    <mergeCell ref="G30:J30"/>
    <mergeCell ref="D20:E20"/>
    <mergeCell ref="G20:J20"/>
    <mergeCell ref="D22:E22"/>
    <mergeCell ref="G22:J22"/>
    <mergeCell ref="D24:E24"/>
    <mergeCell ref="G24:J24"/>
    <mergeCell ref="G28:J28"/>
    <mergeCell ref="G29:J29"/>
    <mergeCell ref="C28:E28"/>
    <mergeCell ref="C29:E29"/>
    <mergeCell ref="C30:E30"/>
    <mergeCell ref="G32:J32"/>
    <mergeCell ref="C31:E31"/>
  </mergeCells>
  <pageMargins left="0.75" right="0.5" top="0.5" bottom="0.75" header="0" footer="0.5"/>
  <pageSetup scale="90" orientation="portrait" r:id="rId1"/>
  <headerFooter alignWithMargins="0">
    <oddFooter>&amp;C&amp;A&amp;R&amp;D &amp;T</oddFooter>
  </headerFooter>
  <rowBreaks count="1" manualBreakCount="1">
    <brk id="65" max="65535" man="1"/>
  </rowBreaks>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AF46"/>
  <sheetViews>
    <sheetView workbookViewId="0"/>
  </sheetViews>
  <sheetFormatPr defaultColWidth="9.7109375" defaultRowHeight="12.75"/>
  <cols>
    <col min="1" max="1" width="4.140625" style="12" customWidth="1"/>
    <col min="2" max="2" width="2.7109375" style="202" customWidth="1"/>
    <col min="3" max="3" width="18.7109375" style="202" customWidth="1"/>
    <col min="4" max="4" width="10.7109375" style="202" customWidth="1"/>
    <col min="5" max="8" width="12.28515625" style="202" customWidth="1"/>
    <col min="9" max="9" width="17.7109375" style="202" customWidth="1"/>
    <col min="10" max="10" width="7.5703125" style="4" customWidth="1"/>
    <col min="11" max="11" width="23.85546875" style="1329" bestFit="1" customWidth="1"/>
    <col min="12" max="14" width="10.7109375" style="1329" customWidth="1"/>
    <col min="15" max="15" width="5.7109375" style="6" customWidth="1"/>
    <col min="16" max="16" width="4.140625" style="12" hidden="1" customWidth="1"/>
    <col min="17" max="17" width="2.7109375" style="202" hidden="1" customWidth="1"/>
    <col min="18" max="18" width="18.7109375" style="202" hidden="1" customWidth="1"/>
    <col min="19" max="19" width="10.7109375" style="202" hidden="1" customWidth="1"/>
    <col min="20" max="23" width="12.28515625" style="202" hidden="1" customWidth="1"/>
    <col min="24" max="24" width="20.7109375" style="202" hidden="1" customWidth="1"/>
    <col min="25" max="25" width="10.7109375" style="202" hidden="1" customWidth="1"/>
    <col min="26" max="26" width="18.7109375" style="202" hidden="1" customWidth="1"/>
    <col min="27" max="27" width="5.7109375" style="6" customWidth="1"/>
    <col min="28" max="16384" width="9.7109375" style="4"/>
  </cols>
  <sheetData>
    <row r="1" spans="1:27" s="814" customFormat="1" ht="12.75" customHeight="1">
      <c r="A1" s="1302" t="str">
        <f>IF('FORM 1040-1'!D15="","",'FORM 1040-1'!D15)</f>
        <v/>
      </c>
      <c r="B1" s="1306"/>
      <c r="C1" s="1306"/>
      <c r="D1" s="1306"/>
      <c r="E1" s="1306"/>
      <c r="F1" s="1306"/>
      <c r="G1" s="1306"/>
      <c r="H1" s="1306"/>
      <c r="I1" s="1294" t="str">
        <f>IF('FORM 1040-1'!$E$12="","",'FORM 1040-1'!$E$12)</f>
        <v/>
      </c>
      <c r="J1" s="1710" t="s">
        <v>1621</v>
      </c>
      <c r="K1" s="1710"/>
      <c r="L1" s="1710"/>
      <c r="M1" s="1334"/>
      <c r="N1" s="1334"/>
      <c r="O1" s="6"/>
      <c r="P1" s="801"/>
      <c r="Q1" s="802"/>
      <c r="R1" s="802"/>
      <c r="S1" s="802"/>
      <c r="T1" s="802"/>
      <c r="U1" s="802"/>
      <c r="V1" s="802"/>
      <c r="W1" s="802"/>
      <c r="X1" s="802"/>
      <c r="Y1" s="802"/>
      <c r="Z1" s="802"/>
      <c r="AA1" s="6"/>
    </row>
    <row r="2" spans="1:27" s="814" customFormat="1">
      <c r="A2" s="801"/>
      <c r="B2" s="802"/>
      <c r="C2" s="802"/>
      <c r="D2" s="802"/>
      <c r="E2" s="802"/>
      <c r="F2" s="802"/>
      <c r="G2" s="802"/>
      <c r="H2" s="802"/>
      <c r="I2" s="802"/>
      <c r="J2" s="1710"/>
      <c r="K2" s="1710"/>
      <c r="L2" s="1710"/>
      <c r="M2" s="1334"/>
      <c r="N2" s="1334"/>
      <c r="O2" s="6"/>
      <c r="P2" s="801"/>
      <c r="Q2" s="802"/>
      <c r="R2" s="802"/>
      <c r="S2" s="802"/>
      <c r="T2" s="802"/>
      <c r="U2" s="802"/>
      <c r="V2" s="802"/>
      <c r="W2" s="802"/>
      <c r="X2" s="802"/>
      <c r="Y2" s="802"/>
      <c r="Z2" s="802"/>
      <c r="AA2" s="6"/>
    </row>
    <row r="3" spans="1:27" ht="15" customHeight="1">
      <c r="A3" s="12" t="s">
        <v>194</v>
      </c>
      <c r="B3" s="1694" t="s">
        <v>335</v>
      </c>
      <c r="C3" s="1694"/>
      <c r="D3" s="1694"/>
      <c r="E3" s="1694"/>
      <c r="F3" s="1694"/>
      <c r="G3" s="1694"/>
      <c r="H3" s="1694"/>
      <c r="I3" s="1694"/>
      <c r="J3" s="1710"/>
      <c r="K3" s="1710"/>
      <c r="L3" s="1710"/>
      <c r="M3" s="1334"/>
      <c r="N3" s="1334"/>
      <c r="P3" s="12" t="s">
        <v>194</v>
      </c>
      <c r="Q3" s="1694" t="s">
        <v>335</v>
      </c>
      <c r="R3" s="1694"/>
      <c r="S3" s="1694"/>
      <c r="T3" s="1694"/>
      <c r="U3" s="1694"/>
      <c r="V3" s="1694"/>
      <c r="W3" s="1694"/>
      <c r="X3" s="1694"/>
    </row>
    <row r="4" spans="1:27" ht="12" customHeight="1" thickBot="1">
      <c r="J4" s="1710"/>
      <c r="K4" s="1710"/>
      <c r="L4" s="1710"/>
      <c r="M4" s="1334"/>
      <c r="N4" s="1334"/>
    </row>
    <row r="5" spans="1:27" ht="15" customHeight="1" thickTop="1" thickBot="1">
      <c r="B5" s="1613"/>
      <c r="C5" s="1614"/>
      <c r="D5" s="1615"/>
      <c r="E5" s="219" t="s">
        <v>17</v>
      </c>
      <c r="F5" s="220"/>
      <c r="G5" s="1780" t="s">
        <v>144</v>
      </c>
      <c r="H5" s="1781"/>
      <c r="I5" s="1782" t="s">
        <v>595</v>
      </c>
      <c r="N5" s="1327"/>
      <c r="Q5" s="1613"/>
      <c r="R5" s="1614"/>
      <c r="S5" s="1615"/>
      <c r="T5" s="219" t="s">
        <v>17</v>
      </c>
      <c r="U5" s="220"/>
      <c r="V5" s="1780" t="s">
        <v>144</v>
      </c>
      <c r="W5" s="1781"/>
      <c r="X5" s="1782" t="s">
        <v>595</v>
      </c>
      <c r="Z5" s="40"/>
    </row>
    <row r="6" spans="1:27" ht="27" customHeight="1" thickTop="1" thickBot="1">
      <c r="B6" s="1629" t="s">
        <v>98</v>
      </c>
      <c r="C6" s="1634"/>
      <c r="D6" s="1630"/>
      <c r="E6" s="221" t="s">
        <v>18</v>
      </c>
      <c r="F6" s="221" t="s">
        <v>19</v>
      </c>
      <c r="G6" s="221" t="s">
        <v>18</v>
      </c>
      <c r="H6" s="221" t="s">
        <v>19</v>
      </c>
      <c r="I6" s="1783"/>
      <c r="K6" s="1757" t="s">
        <v>2453</v>
      </c>
      <c r="L6" s="1758"/>
      <c r="M6" s="1759"/>
      <c r="Q6" s="1629" t="s">
        <v>98</v>
      </c>
      <c r="R6" s="1634"/>
      <c r="S6" s="1630"/>
      <c r="T6" s="221" t="s">
        <v>18</v>
      </c>
      <c r="U6" s="221" t="s">
        <v>19</v>
      </c>
      <c r="V6" s="221" t="s">
        <v>18</v>
      </c>
      <c r="W6" s="221" t="s">
        <v>19</v>
      </c>
      <c r="X6" s="1783"/>
      <c r="Z6" s="40"/>
    </row>
    <row r="7" spans="1:27" ht="15.95" customHeight="1" thickTop="1" thickBot="1">
      <c r="B7" s="1777" t="s">
        <v>599</v>
      </c>
      <c r="C7" s="1778"/>
      <c r="D7" s="1779"/>
      <c r="E7" s="222"/>
      <c r="F7" s="222"/>
      <c r="G7" s="222"/>
      <c r="H7" s="222"/>
      <c r="I7" s="223">
        <f>+F7+H7</f>
        <v>0</v>
      </c>
      <c r="K7" s="664" t="s">
        <v>2454</v>
      </c>
      <c r="L7" s="1355" t="s">
        <v>2452</v>
      </c>
      <c r="M7" s="1356" t="s">
        <v>359</v>
      </c>
      <c r="N7" s="1354"/>
      <c r="Q7" s="1777" t="s">
        <v>599</v>
      </c>
      <c r="R7" s="1778"/>
      <c r="S7" s="1779"/>
      <c r="T7" s="224"/>
      <c r="U7" s="224"/>
      <c r="V7" s="224"/>
      <c r="W7" s="224"/>
      <c r="X7" s="225">
        <f>+U7+W7</f>
        <v>0</v>
      </c>
      <c r="Z7" s="40"/>
    </row>
    <row r="8" spans="1:27" ht="15.95" customHeight="1" thickTop="1" thickBot="1">
      <c r="B8" s="1777" t="s">
        <v>591</v>
      </c>
      <c r="C8" s="1778"/>
      <c r="D8" s="1779"/>
      <c r="E8" s="230">
        <f>+F8</f>
        <v>0</v>
      </c>
      <c r="F8" s="226"/>
      <c r="G8" s="230">
        <f>+H8</f>
        <v>0</v>
      </c>
      <c r="H8" s="226"/>
      <c r="I8" s="223">
        <f>+F8+H8</f>
        <v>0</v>
      </c>
      <c r="K8" s="1357" t="s">
        <v>2455</v>
      </c>
      <c r="L8" s="1358">
        <f>+'FORM 1040-5'!D51</f>
        <v>0</v>
      </c>
      <c r="M8" s="1359">
        <f>+'FORM 1040-5'!F51</f>
        <v>0</v>
      </c>
      <c r="N8" s="1354"/>
      <c r="Q8" s="1777" t="s">
        <v>591</v>
      </c>
      <c r="R8" s="1778"/>
      <c r="S8" s="1779"/>
      <c r="T8" s="227"/>
      <c r="U8" s="227"/>
      <c r="V8" s="227"/>
      <c r="W8" s="227"/>
      <c r="X8" s="228">
        <f>IF(I8="","",(I8))</f>
        <v>0</v>
      </c>
      <c r="Z8" s="40"/>
    </row>
    <row r="9" spans="1:27" ht="15.95" customHeight="1" thickTop="1" thickBot="1">
      <c r="B9" s="1777" t="s">
        <v>592</v>
      </c>
      <c r="C9" s="1778"/>
      <c r="D9" s="1779"/>
      <c r="E9" s="229">
        <f>+E7-E8</f>
        <v>0</v>
      </c>
      <c r="F9" s="229">
        <f>+F7-F8</f>
        <v>0</v>
      </c>
      <c r="G9" s="229">
        <f>+G7-G8</f>
        <v>0</v>
      </c>
      <c r="H9" s="229">
        <f>+H7-H8</f>
        <v>0</v>
      </c>
      <c r="I9" s="1011">
        <f>+F9+H9</f>
        <v>0</v>
      </c>
      <c r="K9" s="1360" t="s">
        <v>2456</v>
      </c>
      <c r="L9" s="1361">
        <f>+'FORM 1040-7a'!E26</f>
        <v>0</v>
      </c>
      <c r="M9" s="1362">
        <f>+'FORM 1040-7a'!G26</f>
        <v>0</v>
      </c>
      <c r="Q9" s="1777" t="s">
        <v>592</v>
      </c>
      <c r="R9" s="1778"/>
      <c r="S9" s="1779"/>
      <c r="T9" s="231">
        <f>+T7-T8</f>
        <v>0</v>
      </c>
      <c r="U9" s="231">
        <f>+U7-U8</f>
        <v>0</v>
      </c>
      <c r="V9" s="231">
        <f>+V7-V8</f>
        <v>0</v>
      </c>
      <c r="W9" s="231">
        <f>+W7-W8</f>
        <v>0</v>
      </c>
      <c r="X9" s="1012">
        <f>IF(I9="","",(I9))</f>
        <v>0</v>
      </c>
    </row>
    <row r="10" spans="1:27" ht="42" customHeight="1" thickTop="1">
      <c r="B10" s="232" t="s">
        <v>101</v>
      </c>
      <c r="C10" s="1787" t="s">
        <v>947</v>
      </c>
      <c r="D10" s="1787"/>
      <c r="E10" s="1787"/>
      <c r="F10" s="1787"/>
      <c r="G10" s="1787"/>
      <c r="H10" s="1787"/>
      <c r="I10" s="1787"/>
      <c r="Q10" s="232" t="s">
        <v>101</v>
      </c>
      <c r="R10" s="1787" t="s">
        <v>947</v>
      </c>
      <c r="S10" s="1787"/>
      <c r="T10" s="1787"/>
      <c r="U10" s="1787"/>
      <c r="V10" s="1787"/>
      <c r="W10" s="1787"/>
      <c r="X10" s="1787"/>
    </row>
    <row r="11" spans="1:27" ht="5.0999999999999996" customHeight="1" thickBot="1">
      <c r="B11" s="26"/>
      <c r="C11" s="1771"/>
      <c r="D11" s="1771"/>
      <c r="E11" s="1771"/>
      <c r="F11" s="1771"/>
      <c r="G11" s="1771"/>
      <c r="H11" s="1771"/>
      <c r="I11" s="1771"/>
      <c r="Q11" s="26"/>
      <c r="R11" s="1771"/>
      <c r="S11" s="1771"/>
      <c r="T11" s="1771"/>
      <c r="U11" s="1771"/>
      <c r="V11" s="1771"/>
      <c r="W11" s="1771"/>
      <c r="X11" s="1771"/>
    </row>
    <row r="12" spans="1:27" ht="15" customHeight="1" thickTop="1" thickBot="1">
      <c r="B12" s="26"/>
      <c r="C12" s="1771" t="s">
        <v>948</v>
      </c>
      <c r="D12" s="1771"/>
      <c r="E12" s="1771"/>
      <c r="F12" s="1771"/>
      <c r="G12" s="1771"/>
      <c r="H12" s="1657"/>
      <c r="I12" s="1658"/>
      <c r="Q12" s="26"/>
      <c r="R12" s="1771" t="s">
        <v>948</v>
      </c>
      <c r="S12" s="1771"/>
      <c r="T12" s="1771"/>
      <c r="U12" s="1771"/>
      <c r="V12" s="1771"/>
      <c r="W12" s="1784" t="str">
        <f>IF(H12="","",(H12))</f>
        <v/>
      </c>
      <c r="X12" s="1785"/>
    </row>
    <row r="13" spans="1:27" ht="5.0999999999999996" customHeight="1" thickTop="1" thickBot="1">
      <c r="B13" s="26"/>
      <c r="C13" s="1771"/>
      <c r="D13" s="1771"/>
      <c r="E13" s="1771"/>
      <c r="F13" s="1771"/>
      <c r="G13" s="1771"/>
      <c r="H13" s="1771"/>
      <c r="I13" s="1771"/>
      <c r="Q13" s="26"/>
      <c r="R13" s="1771"/>
      <c r="S13" s="1771"/>
      <c r="T13" s="1771"/>
      <c r="U13" s="1771"/>
      <c r="V13" s="1771"/>
      <c r="W13" s="1771"/>
      <c r="X13" s="1771"/>
    </row>
    <row r="14" spans="1:27" ht="15" customHeight="1" thickTop="1" thickBot="1">
      <c r="B14" s="26"/>
      <c r="C14" s="1771" t="s">
        <v>1464</v>
      </c>
      <c r="D14" s="1771"/>
      <c r="E14" s="1771"/>
      <c r="F14" s="1771"/>
      <c r="G14" s="1771"/>
      <c r="H14" s="1788"/>
      <c r="I14" s="1789"/>
      <c r="Q14" s="26"/>
      <c r="R14" s="1771" t="s">
        <v>1464</v>
      </c>
      <c r="S14" s="1771"/>
      <c r="T14" s="1771"/>
      <c r="U14" s="1771"/>
      <c r="V14" s="1771"/>
      <c r="W14" s="1784" t="str">
        <f>IF(H14="","",(H14))</f>
        <v/>
      </c>
      <c r="X14" s="1786"/>
    </row>
    <row r="15" spans="1:27" ht="13.5" thickTop="1"/>
    <row r="16" spans="1:27">
      <c r="A16" s="12" t="s">
        <v>208</v>
      </c>
      <c r="B16" s="202" t="s">
        <v>593</v>
      </c>
      <c r="P16" s="12" t="s">
        <v>208</v>
      </c>
      <c r="Q16" s="202" t="s">
        <v>593</v>
      </c>
    </row>
    <row r="17" spans="1:32" ht="5.0999999999999996" customHeight="1" thickBot="1"/>
    <row r="18" spans="1:32" ht="15" customHeight="1" thickTop="1" thickBot="1">
      <c r="A18" s="4"/>
      <c r="B18" s="1764" t="s">
        <v>98</v>
      </c>
      <c r="C18" s="1765"/>
      <c r="D18" s="1765"/>
      <c r="E18" s="1765"/>
      <c r="F18" s="1765"/>
      <c r="G18" s="1766"/>
      <c r="H18" s="4"/>
      <c r="I18" s="233" t="s">
        <v>594</v>
      </c>
      <c r="P18" s="4"/>
      <c r="Q18" s="1764" t="s">
        <v>98</v>
      </c>
      <c r="R18" s="1765"/>
      <c r="S18" s="1765"/>
      <c r="T18" s="1765"/>
      <c r="U18" s="1765"/>
      <c r="V18" s="1766"/>
      <c r="W18" s="4"/>
      <c r="X18" s="233" t="s">
        <v>594</v>
      </c>
      <c r="Y18" s="4"/>
      <c r="Z18" s="108"/>
      <c r="AA18" s="234"/>
      <c r="AB18" s="28"/>
      <c r="AC18" s="108"/>
      <c r="AD18" s="28"/>
      <c r="AE18" s="28"/>
      <c r="AF18" s="28"/>
    </row>
    <row r="19" spans="1:32" s="216" customFormat="1" ht="26.1" customHeight="1" thickTop="1" thickBot="1">
      <c r="A19" s="215"/>
      <c r="B19" s="1772" t="s">
        <v>103</v>
      </c>
      <c r="C19" s="1773"/>
      <c r="D19" s="1773"/>
      <c r="E19" s="1773"/>
      <c r="F19" s="1773"/>
      <c r="G19" s="1774"/>
      <c r="H19" s="218"/>
      <c r="I19" s="1166"/>
      <c r="O19" s="217"/>
      <c r="P19" s="215"/>
      <c r="Q19" s="1772" t="s">
        <v>103</v>
      </c>
      <c r="R19" s="1773"/>
      <c r="S19" s="1773"/>
      <c r="T19" s="1773"/>
      <c r="U19" s="1773"/>
      <c r="V19" s="1774"/>
      <c r="W19" s="218"/>
      <c r="X19" s="1162" t="str">
        <f>IF(I19="","",(I19))</f>
        <v/>
      </c>
      <c r="Y19" s="218"/>
      <c r="Z19" s="1163"/>
      <c r="AA19" s="1164"/>
      <c r="AB19" s="1165"/>
      <c r="AC19" s="1163"/>
      <c r="AD19" s="1165"/>
      <c r="AE19" s="1165"/>
      <c r="AF19" s="1165"/>
    </row>
    <row r="20" spans="1:32" ht="17.100000000000001" customHeight="1" thickTop="1" thickBot="1">
      <c r="B20" s="1763" t="s">
        <v>22</v>
      </c>
      <c r="C20" s="1775"/>
      <c r="D20" s="1775"/>
      <c r="E20" s="1775"/>
      <c r="F20" s="1775"/>
      <c r="G20" s="1776"/>
      <c r="I20" s="237"/>
      <c r="Q20" s="1763" t="s">
        <v>22</v>
      </c>
      <c r="R20" s="1775"/>
      <c r="S20" s="1775"/>
      <c r="T20" s="1775"/>
      <c r="U20" s="1775"/>
      <c r="V20" s="1776"/>
      <c r="X20" s="238"/>
      <c r="Z20" s="108"/>
      <c r="AA20" s="239"/>
      <c r="AB20" s="240"/>
      <c r="AC20" s="108"/>
      <c r="AD20" s="240"/>
      <c r="AE20" s="240"/>
      <c r="AF20" s="240"/>
    </row>
    <row r="21" spans="1:32" ht="17.100000000000001" customHeight="1" thickTop="1" thickBot="1">
      <c r="B21" s="1763" t="s">
        <v>155</v>
      </c>
      <c r="C21" s="1761"/>
      <c r="D21" s="1761"/>
      <c r="E21" s="1761"/>
      <c r="F21" s="1761"/>
      <c r="G21" s="1762"/>
      <c r="I21" s="73"/>
      <c r="Q21" s="1763" t="s">
        <v>155</v>
      </c>
      <c r="R21" s="1761"/>
      <c r="S21" s="1761"/>
      <c r="T21" s="1761"/>
      <c r="U21" s="1761"/>
      <c r="V21" s="1762"/>
      <c r="X21" s="241"/>
      <c r="Z21" s="108"/>
      <c r="AA21" s="235"/>
      <c r="AB21" s="236"/>
      <c r="AC21" s="108"/>
      <c r="AD21" s="236"/>
      <c r="AE21" s="236"/>
      <c r="AF21" s="236"/>
    </row>
    <row r="22" spans="1:32" ht="17.100000000000001" customHeight="1" thickTop="1" thickBot="1">
      <c r="B22" s="1763" t="s">
        <v>2449</v>
      </c>
      <c r="C22" s="1761"/>
      <c r="D22" s="1761"/>
      <c r="E22" s="1761"/>
      <c r="F22" s="1761"/>
      <c r="G22" s="1762"/>
      <c r="I22" s="242"/>
      <c r="Q22" s="1763" t="s">
        <v>86</v>
      </c>
      <c r="R22" s="1761"/>
      <c r="S22" s="1761"/>
      <c r="T22" s="1761"/>
      <c r="U22" s="1761"/>
      <c r="V22" s="1762"/>
      <c r="X22" s="241"/>
      <c r="Z22" s="108"/>
      <c r="AA22" s="235"/>
      <c r="AB22" s="236"/>
      <c r="AC22" s="108"/>
      <c r="AD22" s="236"/>
      <c r="AE22" s="236"/>
      <c r="AF22" s="236"/>
    </row>
    <row r="23" spans="1:32" ht="17.100000000000001" customHeight="1" thickTop="1" thickBot="1">
      <c r="B23" s="1763" t="s">
        <v>23</v>
      </c>
      <c r="C23" s="1761"/>
      <c r="D23" s="1761"/>
      <c r="E23" s="1761"/>
      <c r="F23" s="1761"/>
      <c r="G23" s="1762"/>
      <c r="I23" s="237"/>
      <c r="Q23" s="1763" t="s">
        <v>23</v>
      </c>
      <c r="R23" s="1761"/>
      <c r="S23" s="1761"/>
      <c r="T23" s="1761"/>
      <c r="U23" s="1761"/>
      <c r="V23" s="1762"/>
      <c r="X23" s="238"/>
      <c r="Z23" s="108"/>
      <c r="AA23" s="239"/>
      <c r="AB23" s="240"/>
      <c r="AC23" s="108"/>
      <c r="AD23" s="240"/>
      <c r="AE23" s="240"/>
      <c r="AF23" s="240"/>
    </row>
    <row r="24" spans="1:32" ht="17.100000000000001" customHeight="1" thickTop="1" thickBot="1">
      <c r="B24" s="1763" t="s">
        <v>274</v>
      </c>
      <c r="C24" s="1761"/>
      <c r="D24" s="1761"/>
      <c r="E24" s="1761"/>
      <c r="F24" s="1761"/>
      <c r="G24" s="1762"/>
      <c r="I24" s="73"/>
      <c r="Q24" s="1763" t="s">
        <v>274</v>
      </c>
      <c r="R24" s="1761"/>
      <c r="S24" s="1761"/>
      <c r="T24" s="1761"/>
      <c r="U24" s="1761"/>
      <c r="V24" s="1762"/>
      <c r="X24" s="241"/>
      <c r="Z24" s="108"/>
      <c r="AA24" s="235"/>
      <c r="AB24" s="236"/>
      <c r="AC24" s="108"/>
      <c r="AD24" s="236"/>
      <c r="AE24" s="236"/>
      <c r="AF24" s="236"/>
    </row>
    <row r="25" spans="1:32" ht="17.100000000000001" customHeight="1" thickTop="1" thickBot="1">
      <c r="A25" s="243"/>
      <c r="B25" s="1763" t="s">
        <v>275</v>
      </c>
      <c r="C25" s="1761"/>
      <c r="D25" s="1761"/>
      <c r="E25" s="1761"/>
      <c r="F25" s="1761"/>
      <c r="G25" s="1762"/>
      <c r="I25" s="73"/>
      <c r="P25" s="243"/>
      <c r="Q25" s="1763" t="s">
        <v>275</v>
      </c>
      <c r="R25" s="1761"/>
      <c r="S25" s="1761"/>
      <c r="T25" s="1761"/>
      <c r="U25" s="1761"/>
      <c r="V25" s="1762"/>
      <c r="X25" s="241"/>
      <c r="Z25" s="108"/>
      <c r="AA25" s="235"/>
      <c r="AB25" s="236"/>
      <c r="AC25" s="244"/>
      <c r="AD25" s="236"/>
      <c r="AE25" s="236"/>
      <c r="AF25" s="236"/>
    </row>
    <row r="26" spans="1:32" ht="17.100000000000001" customHeight="1" thickTop="1" thickBot="1">
      <c r="A26" s="243"/>
      <c r="B26" s="1763" t="s">
        <v>276</v>
      </c>
      <c r="C26" s="1761"/>
      <c r="D26" s="1761"/>
      <c r="E26" s="1761"/>
      <c r="F26" s="1761"/>
      <c r="G26" s="1762"/>
      <c r="I26" s="245">
        <f>+I7</f>
        <v>0</v>
      </c>
      <c r="P26" s="243"/>
      <c r="Q26" s="1763" t="s">
        <v>276</v>
      </c>
      <c r="R26" s="1761"/>
      <c r="S26" s="1761"/>
      <c r="T26" s="1761"/>
      <c r="U26" s="1761"/>
      <c r="V26" s="1762"/>
      <c r="X26" s="139">
        <f>IF(I26="","",(I26))</f>
        <v>0</v>
      </c>
      <c r="Z26" s="108"/>
      <c r="AA26" s="246"/>
      <c r="AB26" s="247"/>
      <c r="AC26" s="244"/>
      <c r="AD26" s="247"/>
      <c r="AE26" s="247"/>
      <c r="AF26" s="247"/>
    </row>
    <row r="27" spans="1:32" ht="17.100000000000001" customHeight="1" thickTop="1" thickBot="1">
      <c r="A27" s="243"/>
      <c r="B27" s="1763" t="s">
        <v>277</v>
      </c>
      <c r="C27" s="1761"/>
      <c r="D27" s="1761"/>
      <c r="E27" s="1761"/>
      <c r="F27" s="1761"/>
      <c r="G27" s="1762"/>
      <c r="I27" s="245">
        <f>+I26*10</f>
        <v>0</v>
      </c>
      <c r="P27" s="243"/>
      <c r="Q27" s="1763" t="s">
        <v>277</v>
      </c>
      <c r="R27" s="1761"/>
      <c r="S27" s="1761"/>
      <c r="T27" s="1761"/>
      <c r="U27" s="1761"/>
      <c r="V27" s="1762"/>
      <c r="X27" s="245"/>
      <c r="Z27" s="108"/>
      <c r="AA27" s="246"/>
      <c r="AB27" s="247"/>
      <c r="AC27" s="244"/>
      <c r="AD27" s="247"/>
      <c r="AE27" s="247"/>
      <c r="AF27" s="247"/>
    </row>
    <row r="28" spans="1:32" ht="17.100000000000001" customHeight="1" thickTop="1" thickBot="1">
      <c r="A28" s="243"/>
      <c r="B28" s="1763" t="s">
        <v>278</v>
      </c>
      <c r="C28" s="1761"/>
      <c r="D28" s="1761"/>
      <c r="E28" s="1761"/>
      <c r="F28" s="1761"/>
      <c r="G28" s="1762"/>
      <c r="I28" s="248"/>
      <c r="P28" s="243"/>
      <c r="Q28" s="1763" t="s">
        <v>278</v>
      </c>
      <c r="R28" s="1761"/>
      <c r="S28" s="1761"/>
      <c r="T28" s="1761"/>
      <c r="U28" s="1761"/>
      <c r="V28" s="1762"/>
      <c r="X28" s="249" t="str">
        <f>IF(I28="","",(I28))</f>
        <v/>
      </c>
      <c r="Z28" s="108" t="s">
        <v>598</v>
      </c>
      <c r="AA28" s="250"/>
      <c r="AB28" s="251"/>
      <c r="AC28" s="244"/>
      <c r="AD28" s="251"/>
      <c r="AE28" s="251"/>
      <c r="AF28" s="251"/>
    </row>
    <row r="29" spans="1:32" ht="17.100000000000001" customHeight="1" thickTop="1" thickBot="1">
      <c r="A29" s="243"/>
      <c r="B29" s="1763" t="s">
        <v>279</v>
      </c>
      <c r="C29" s="1761"/>
      <c r="D29" s="1761"/>
      <c r="E29" s="1761"/>
      <c r="F29" s="1761"/>
      <c r="G29" s="1762"/>
      <c r="I29" s="245">
        <f>+I27*I28</f>
        <v>0</v>
      </c>
      <c r="P29" s="243"/>
      <c r="Q29" s="1763" t="s">
        <v>279</v>
      </c>
      <c r="R29" s="1761"/>
      <c r="S29" s="1761"/>
      <c r="T29" s="1761"/>
      <c r="U29" s="1761"/>
      <c r="V29" s="1762"/>
      <c r="X29" s="245"/>
      <c r="Z29" s="252">
        <f>+I29/10</f>
        <v>0</v>
      </c>
      <c r="AA29" s="246"/>
      <c r="AB29" s="247"/>
      <c r="AC29" s="244"/>
      <c r="AD29" s="247"/>
      <c r="AE29" s="247"/>
      <c r="AF29" s="247"/>
    </row>
    <row r="30" spans="1:32" ht="17.100000000000001" customHeight="1" thickTop="1" thickBot="1">
      <c r="A30" s="4"/>
      <c r="B30" s="1790" t="s">
        <v>96</v>
      </c>
      <c r="C30" s="1791"/>
      <c r="D30" s="1791"/>
      <c r="E30" s="1791"/>
      <c r="F30" s="1791"/>
      <c r="G30" s="1792"/>
      <c r="I30" s="253"/>
      <c r="P30" s="4"/>
      <c r="Q30" s="1764" t="s">
        <v>96</v>
      </c>
      <c r="R30" s="1765"/>
      <c r="S30" s="1765"/>
      <c r="T30" s="1765"/>
      <c r="U30" s="1765"/>
      <c r="V30" s="1766"/>
      <c r="X30" s="254"/>
      <c r="Z30" s="108"/>
      <c r="AA30" s="234"/>
      <c r="AB30" s="28"/>
      <c r="AC30" s="244"/>
      <c r="AD30" s="28"/>
      <c r="AE30" s="28"/>
      <c r="AF30" s="28"/>
    </row>
    <row r="31" spans="1:32" ht="17.100000000000001" customHeight="1" thickTop="1" thickBot="1">
      <c r="A31" s="4"/>
      <c r="B31" s="1767" t="s">
        <v>99</v>
      </c>
      <c r="C31" s="1761"/>
      <c r="D31" s="1761"/>
      <c r="E31" s="1761"/>
      <c r="F31" s="1761"/>
      <c r="G31" s="1762"/>
      <c r="I31" s="245">
        <f>+I34+I42</f>
        <v>0</v>
      </c>
      <c r="P31" s="4"/>
      <c r="Q31" s="1767" t="s">
        <v>99</v>
      </c>
      <c r="R31" s="1761"/>
      <c r="S31" s="1761"/>
      <c r="T31" s="1761"/>
      <c r="U31" s="1761"/>
      <c r="V31" s="1762"/>
      <c r="X31" s="139">
        <f>IF(I31="","",(I31))</f>
        <v>0</v>
      </c>
      <c r="Z31" s="108"/>
      <c r="AA31" s="246"/>
      <c r="AB31" s="247"/>
      <c r="AC31" s="244"/>
      <c r="AD31" s="247"/>
      <c r="AE31" s="247"/>
      <c r="AF31" s="247"/>
    </row>
    <row r="32" spans="1:32" ht="17.100000000000001" customHeight="1" thickTop="1" thickBot="1">
      <c r="A32" s="4"/>
      <c r="B32" s="1767" t="s">
        <v>596</v>
      </c>
      <c r="C32" s="1761"/>
      <c r="D32" s="1761"/>
      <c r="E32" s="1761"/>
      <c r="F32" s="1761"/>
      <c r="G32" s="1762"/>
      <c r="I32" s="255">
        <f>IF(ISERROR(+I31/I29),0,+I31/I29)</f>
        <v>0</v>
      </c>
      <c r="P32" s="4"/>
      <c r="Q32" s="1767" t="s">
        <v>596</v>
      </c>
      <c r="R32" s="1761"/>
      <c r="S32" s="1761"/>
      <c r="T32" s="1761"/>
      <c r="U32" s="1761"/>
      <c r="V32" s="1762"/>
      <c r="X32" s="256">
        <f>IF(I32="","",(I32))</f>
        <v>0</v>
      </c>
      <c r="Z32" s="108"/>
      <c r="AA32" s="250"/>
      <c r="AB32" s="251"/>
      <c r="AC32" s="244"/>
      <c r="AD32" s="251"/>
      <c r="AE32" s="251"/>
      <c r="AF32" s="251"/>
    </row>
    <row r="33" spans="1:32" ht="17.100000000000001" customHeight="1" thickTop="1" thickBot="1">
      <c r="A33" s="202"/>
      <c r="B33" s="1790" t="s">
        <v>97</v>
      </c>
      <c r="C33" s="1791"/>
      <c r="D33" s="1791"/>
      <c r="E33" s="1791"/>
      <c r="F33" s="1791"/>
      <c r="G33" s="1792"/>
      <c r="I33" s="253"/>
      <c r="P33" s="202"/>
      <c r="Q33" s="1764" t="s">
        <v>97</v>
      </c>
      <c r="R33" s="1765"/>
      <c r="S33" s="1765"/>
      <c r="T33" s="1765"/>
      <c r="U33" s="1765"/>
      <c r="V33" s="1766"/>
      <c r="X33" s="254"/>
      <c r="Z33" s="108"/>
      <c r="AA33" s="234"/>
      <c r="AB33" s="28"/>
      <c r="AC33" s="244"/>
      <c r="AD33" s="28"/>
      <c r="AE33" s="28"/>
      <c r="AF33" s="28"/>
    </row>
    <row r="34" spans="1:32" ht="17.100000000000001" customHeight="1" thickTop="1" thickBot="1">
      <c r="A34" s="202"/>
      <c r="B34" s="1767" t="s">
        <v>99</v>
      </c>
      <c r="C34" s="1761"/>
      <c r="D34" s="1761"/>
      <c r="E34" s="1761"/>
      <c r="F34" s="1761"/>
      <c r="G34" s="1762"/>
      <c r="I34" s="138"/>
      <c r="P34" s="202"/>
      <c r="Q34" s="1767" t="s">
        <v>99</v>
      </c>
      <c r="R34" s="1761"/>
      <c r="S34" s="1761"/>
      <c r="T34" s="1761"/>
      <c r="U34" s="1761"/>
      <c r="V34" s="1762"/>
      <c r="X34" s="257"/>
      <c r="Z34" s="108"/>
      <c r="AA34" s="246"/>
      <c r="AB34" s="247"/>
      <c r="AC34" s="244"/>
      <c r="AD34" s="247"/>
      <c r="AE34" s="247"/>
      <c r="AF34" s="247"/>
    </row>
    <row r="35" spans="1:32" ht="17.100000000000001" customHeight="1" thickTop="1" thickBot="1">
      <c r="A35" s="4"/>
      <c r="B35" s="1767" t="s">
        <v>597</v>
      </c>
      <c r="C35" s="1761"/>
      <c r="D35" s="1761"/>
      <c r="E35" s="1761"/>
      <c r="F35" s="1761"/>
      <c r="G35" s="1762"/>
      <c r="I35" s="255">
        <f>IF(ISERROR(+I34/I29),0,+I34/I29)</f>
        <v>0</v>
      </c>
      <c r="P35" s="4"/>
      <c r="Q35" s="1767" t="s">
        <v>597</v>
      </c>
      <c r="R35" s="1761"/>
      <c r="S35" s="1761"/>
      <c r="T35" s="1761"/>
      <c r="U35" s="1761"/>
      <c r="V35" s="1762"/>
      <c r="X35" s="255"/>
      <c r="Z35" s="108"/>
      <c r="AA35" s="250"/>
      <c r="AB35" s="251"/>
      <c r="AC35" s="244"/>
      <c r="AD35" s="251"/>
      <c r="AE35" s="251"/>
      <c r="AF35" s="251"/>
    </row>
    <row r="36" spans="1:32" ht="5.0999999999999996" customHeight="1" thickTop="1" thickBot="1">
      <c r="A36" s="4"/>
      <c r="B36" s="4"/>
      <c r="C36" s="4"/>
      <c r="D36" s="4"/>
      <c r="E36" s="4"/>
      <c r="F36" s="4"/>
      <c r="G36" s="4"/>
      <c r="I36" s="258"/>
      <c r="P36" s="4"/>
      <c r="Q36" s="4"/>
      <c r="R36" s="4"/>
      <c r="S36" s="4"/>
      <c r="T36" s="4"/>
      <c r="U36" s="4"/>
      <c r="V36" s="4"/>
      <c r="X36" s="258"/>
      <c r="Z36" s="108"/>
      <c r="AA36" s="259"/>
      <c r="AB36" s="260"/>
      <c r="AC36" s="28"/>
      <c r="AD36" s="261"/>
      <c r="AE36" s="260"/>
      <c r="AF36" s="262"/>
    </row>
    <row r="37" spans="1:32" ht="17.100000000000001" customHeight="1" thickTop="1" thickBot="1">
      <c r="B37" s="1764" t="s">
        <v>2184</v>
      </c>
      <c r="C37" s="1793"/>
      <c r="D37" s="1793"/>
      <c r="E37" s="1793"/>
      <c r="F37" s="1793"/>
      <c r="G37" s="1794"/>
      <c r="I37" s="1124" t="s">
        <v>99</v>
      </c>
      <c r="Q37" s="1764" t="s">
        <v>280</v>
      </c>
      <c r="R37" s="1765"/>
      <c r="S37" s="1765"/>
      <c r="T37" s="1765"/>
      <c r="U37" s="1765"/>
      <c r="V37" s="1766"/>
      <c r="X37" s="233" t="s">
        <v>95</v>
      </c>
      <c r="Z37" s="108"/>
      <c r="AA37" s="234"/>
      <c r="AB37" s="28"/>
      <c r="AC37" s="108"/>
      <c r="AD37" s="28"/>
      <c r="AE37" s="28"/>
      <c r="AF37" s="28"/>
    </row>
    <row r="38" spans="1:32" ht="17.100000000000001" customHeight="1" thickTop="1" thickBot="1">
      <c r="A38" s="243"/>
      <c r="B38" s="1795"/>
      <c r="C38" s="1796"/>
      <c r="D38" s="1796"/>
      <c r="E38" s="1796"/>
      <c r="F38" s="1796"/>
      <c r="G38" s="1797"/>
      <c r="I38" s="138"/>
      <c r="P38" s="243"/>
      <c r="Q38" s="1768"/>
      <c r="R38" s="1769"/>
      <c r="S38" s="1769"/>
      <c r="T38" s="1769"/>
      <c r="U38" s="1769"/>
      <c r="V38" s="1770"/>
      <c r="X38" s="257"/>
      <c r="Z38" s="108"/>
      <c r="AA38" s="246"/>
      <c r="AB38" s="247"/>
      <c r="AC38" s="244"/>
      <c r="AD38" s="247"/>
      <c r="AE38" s="247"/>
      <c r="AF38" s="247"/>
    </row>
    <row r="39" spans="1:32" ht="17.100000000000001" customHeight="1" thickTop="1" thickBot="1">
      <c r="A39" s="243"/>
      <c r="B39" s="1795"/>
      <c r="C39" s="1796"/>
      <c r="D39" s="1796"/>
      <c r="E39" s="1796"/>
      <c r="F39" s="1796"/>
      <c r="G39" s="1797"/>
      <c r="I39" s="138"/>
      <c r="P39" s="243"/>
      <c r="Q39" s="1768"/>
      <c r="R39" s="1769"/>
      <c r="S39" s="1769"/>
      <c r="T39" s="1769"/>
      <c r="U39" s="1769"/>
      <c r="V39" s="1770"/>
      <c r="X39" s="257"/>
      <c r="Z39" s="108"/>
      <c r="AA39" s="246"/>
      <c r="AB39" s="247"/>
      <c r="AC39" s="244"/>
      <c r="AD39" s="247"/>
      <c r="AE39" s="247"/>
      <c r="AF39" s="247"/>
    </row>
    <row r="40" spans="1:32" ht="17.100000000000001" customHeight="1" thickTop="1" thickBot="1">
      <c r="A40" s="243"/>
      <c r="B40" s="1795"/>
      <c r="C40" s="1796"/>
      <c r="D40" s="1796"/>
      <c r="E40" s="1796"/>
      <c r="F40" s="1796"/>
      <c r="G40" s="1797"/>
      <c r="I40" s="138"/>
      <c r="P40" s="243"/>
      <c r="Q40" s="1768"/>
      <c r="R40" s="1769"/>
      <c r="S40" s="1769"/>
      <c r="T40" s="1769"/>
      <c r="U40" s="1769"/>
      <c r="V40" s="1770"/>
      <c r="X40" s="257"/>
      <c r="Z40" s="108"/>
      <c r="AA40" s="246"/>
      <c r="AB40" s="247"/>
      <c r="AC40" s="244"/>
      <c r="AD40" s="247"/>
      <c r="AE40" s="247"/>
      <c r="AF40" s="247"/>
    </row>
    <row r="41" spans="1:32" ht="17.100000000000001" customHeight="1" thickTop="1" thickBot="1">
      <c r="A41" s="243"/>
      <c r="B41" s="1795"/>
      <c r="C41" s="1796"/>
      <c r="D41" s="1796"/>
      <c r="E41" s="1796"/>
      <c r="F41" s="1796"/>
      <c r="G41" s="1797"/>
      <c r="I41" s="138"/>
      <c r="P41" s="243"/>
      <c r="Q41" s="1768"/>
      <c r="R41" s="1769"/>
      <c r="S41" s="1769"/>
      <c r="T41" s="1769"/>
      <c r="U41" s="1769"/>
      <c r="V41" s="1770"/>
      <c r="X41" s="257"/>
      <c r="Z41" s="108"/>
      <c r="AA41" s="246"/>
      <c r="AB41" s="247"/>
      <c r="AC41" s="244"/>
      <c r="AD41" s="247"/>
      <c r="AE41" s="247"/>
      <c r="AF41" s="247"/>
    </row>
    <row r="42" spans="1:32" ht="15.95" customHeight="1" thickTop="1" thickBot="1">
      <c r="A42" s="243"/>
      <c r="B42" s="1772" t="s">
        <v>1495</v>
      </c>
      <c r="C42" s="1798"/>
      <c r="D42" s="1798"/>
      <c r="E42" s="1798"/>
      <c r="F42" s="1798"/>
      <c r="G42" s="1799"/>
      <c r="I42" s="245">
        <f>SUM(I38:P41)</f>
        <v>0</v>
      </c>
      <c r="P42" s="243"/>
      <c r="Q42" s="1763" t="s">
        <v>1495</v>
      </c>
      <c r="R42" s="1761"/>
      <c r="S42" s="1761"/>
      <c r="T42" s="1761"/>
      <c r="U42" s="1761"/>
      <c r="V42" s="1762"/>
      <c r="X42" s="139">
        <f>IF(I42="","",(I42))</f>
        <v>0</v>
      </c>
      <c r="Z42" s="108"/>
      <c r="AA42" s="246"/>
      <c r="AB42" s="247"/>
      <c r="AC42" s="244"/>
      <c r="AD42" s="247"/>
      <c r="AE42" s="247"/>
      <c r="AF42" s="247"/>
    </row>
    <row r="43" spans="1:32" ht="5.0999999999999996" customHeight="1" thickTop="1" thickBot="1">
      <c r="A43" s="243"/>
      <c r="B43" s="243"/>
      <c r="C43" s="243"/>
      <c r="D43" s="243"/>
      <c r="E43" s="243"/>
      <c r="F43" s="243"/>
      <c r="G43" s="243"/>
      <c r="I43" s="243"/>
      <c r="P43" s="243"/>
      <c r="Q43" s="243"/>
      <c r="R43" s="243"/>
      <c r="S43" s="243"/>
      <c r="T43" s="243"/>
      <c r="U43" s="243"/>
      <c r="V43" s="243"/>
      <c r="X43" s="243"/>
      <c r="Z43" s="108"/>
      <c r="AA43" s="263"/>
      <c r="AB43" s="244"/>
      <c r="AC43" s="244"/>
      <c r="AD43" s="244"/>
      <c r="AE43" s="244"/>
      <c r="AF43" s="244"/>
    </row>
    <row r="44" spans="1:32" ht="15.95" customHeight="1" thickTop="1" thickBot="1">
      <c r="A44" s="243"/>
      <c r="B44" s="1760" t="s">
        <v>2185</v>
      </c>
      <c r="C44" s="1761"/>
      <c r="D44" s="1761"/>
      <c r="E44" s="1761"/>
      <c r="F44" s="1761"/>
      <c r="G44" s="1762"/>
      <c r="I44" s="264">
        <f>IF(ISERROR(+I42/I31),0,+I42/I31)</f>
        <v>0</v>
      </c>
      <c r="P44" s="243"/>
      <c r="Q44" s="1760" t="s">
        <v>1469</v>
      </c>
      <c r="R44" s="1761"/>
      <c r="S44" s="1761"/>
      <c r="T44" s="1761"/>
      <c r="U44" s="1761"/>
      <c r="V44" s="1762"/>
      <c r="X44" s="264"/>
      <c r="Z44" s="108"/>
      <c r="AA44" s="250"/>
      <c r="AB44" s="251"/>
      <c r="AC44" s="244"/>
      <c r="AD44" s="251"/>
      <c r="AE44" s="251"/>
      <c r="AF44" s="251"/>
    </row>
    <row r="45" spans="1:32" ht="12.95" customHeight="1" thickTop="1">
      <c r="A45" s="243"/>
      <c r="B45" s="243"/>
      <c r="C45" s="243"/>
      <c r="D45" s="243"/>
      <c r="E45" s="243"/>
      <c r="F45" s="243"/>
      <c r="G45" s="243"/>
      <c r="H45" s="243"/>
      <c r="I45" s="243"/>
      <c r="P45" s="243"/>
      <c r="Q45" s="243"/>
      <c r="R45" s="243"/>
      <c r="S45" s="243"/>
      <c r="T45" s="243"/>
      <c r="U45" s="243"/>
      <c r="V45" s="243"/>
      <c r="W45" s="243"/>
      <c r="X45" s="243"/>
      <c r="Y45" s="243"/>
      <c r="Z45" s="243"/>
      <c r="AA45" s="265"/>
      <c r="AB45" s="243"/>
      <c r="AC45" s="243"/>
      <c r="AD45" s="243"/>
      <c r="AE45" s="243"/>
      <c r="AF45" s="243"/>
    </row>
    <row r="46" spans="1:32" ht="69" customHeight="1">
      <c r="A46" s="4"/>
      <c r="B46" s="81" t="s">
        <v>102</v>
      </c>
      <c r="C46" s="1752" t="s">
        <v>2186</v>
      </c>
      <c r="D46" s="1752"/>
      <c r="E46" s="1752"/>
      <c r="F46" s="1752"/>
      <c r="G46" s="1752"/>
      <c r="H46" s="1752"/>
      <c r="I46" s="1752"/>
      <c r="P46" s="4"/>
      <c r="Q46" s="81" t="s">
        <v>102</v>
      </c>
      <c r="R46" s="1752" t="s">
        <v>2186</v>
      </c>
      <c r="S46" s="1752"/>
      <c r="T46" s="1752"/>
      <c r="U46" s="1752"/>
      <c r="V46" s="1752"/>
      <c r="W46" s="1752"/>
      <c r="X46" s="1752"/>
      <c r="Y46" s="266"/>
      <c r="Z46" s="266"/>
      <c r="AA46" s="267"/>
      <c r="AB46" s="266"/>
      <c r="AC46" s="266"/>
      <c r="AD46" s="266"/>
      <c r="AE46" s="266"/>
      <c r="AF46" s="266"/>
    </row>
  </sheetData>
  <sheetProtection algorithmName="SHA-512" hashValue="8qWMHADOhMuio0ibg3piPq9pUf5gQIsH7ofG1BR5kNtGXAjDjKCwz6Vtc5AZSJcxjqWSi2xfy1clgWmktXnyTg==" saltValue="ruODQTnY83Qnpu4J2GvjXQ==" spinCount="100000" sheet="1" objects="1" scenarios="1"/>
  <mergeCells count="84">
    <mergeCell ref="C46:I46"/>
    <mergeCell ref="B39:G39"/>
    <mergeCell ref="B40:G40"/>
    <mergeCell ref="B41:G41"/>
    <mergeCell ref="B42:G42"/>
    <mergeCell ref="B44:G44"/>
    <mergeCell ref="B33:G33"/>
    <mergeCell ref="B34:G34"/>
    <mergeCell ref="B35:G35"/>
    <mergeCell ref="B37:G37"/>
    <mergeCell ref="B38:G38"/>
    <mergeCell ref="B28:G28"/>
    <mergeCell ref="B29:G29"/>
    <mergeCell ref="B30:G30"/>
    <mergeCell ref="B31:G31"/>
    <mergeCell ref="B32:G32"/>
    <mergeCell ref="B23:G23"/>
    <mergeCell ref="B24:G24"/>
    <mergeCell ref="B25:G25"/>
    <mergeCell ref="B26:G26"/>
    <mergeCell ref="B27:G27"/>
    <mergeCell ref="B18:G18"/>
    <mergeCell ref="B19:G19"/>
    <mergeCell ref="B20:G20"/>
    <mergeCell ref="B21:G21"/>
    <mergeCell ref="B22:G22"/>
    <mergeCell ref="C12:G12"/>
    <mergeCell ref="H12:I12"/>
    <mergeCell ref="C13:I13"/>
    <mergeCell ref="C14:G14"/>
    <mergeCell ref="H14:I14"/>
    <mergeCell ref="B7:D7"/>
    <mergeCell ref="B8:D8"/>
    <mergeCell ref="B9:D9"/>
    <mergeCell ref="C10:I10"/>
    <mergeCell ref="C11:I11"/>
    <mergeCell ref="B3:I3"/>
    <mergeCell ref="B5:D5"/>
    <mergeCell ref="G5:H5"/>
    <mergeCell ref="I5:I6"/>
    <mergeCell ref="B6:D6"/>
    <mergeCell ref="Q8:S8"/>
    <mergeCell ref="Q9:S9"/>
    <mergeCell ref="Q33:V33"/>
    <mergeCell ref="Q34:V34"/>
    <mergeCell ref="Q3:X3"/>
    <mergeCell ref="Q5:S5"/>
    <mergeCell ref="Q6:S6"/>
    <mergeCell ref="Q7:S7"/>
    <mergeCell ref="V5:W5"/>
    <mergeCell ref="X5:X6"/>
    <mergeCell ref="R12:V12"/>
    <mergeCell ref="W12:X12"/>
    <mergeCell ref="R13:X13"/>
    <mergeCell ref="W14:X14"/>
    <mergeCell ref="R10:X10"/>
    <mergeCell ref="R14:V14"/>
    <mergeCell ref="Q35:V35"/>
    <mergeCell ref="Q32:V32"/>
    <mergeCell ref="Q25:V25"/>
    <mergeCell ref="Q18:V18"/>
    <mergeCell ref="R11:X11"/>
    <mergeCell ref="Q19:V19"/>
    <mergeCell ref="Q20:V20"/>
    <mergeCell ref="Q21:V21"/>
    <mergeCell ref="Q22:V22"/>
    <mergeCell ref="Q23:V23"/>
    <mergeCell ref="Q24:V24"/>
    <mergeCell ref="J1:L4"/>
    <mergeCell ref="K6:M6"/>
    <mergeCell ref="Q44:V44"/>
    <mergeCell ref="R46:X46"/>
    <mergeCell ref="Q26:V26"/>
    <mergeCell ref="Q27:V27"/>
    <mergeCell ref="Q28:V28"/>
    <mergeCell ref="Q29:V29"/>
    <mergeCell ref="Q30:V30"/>
    <mergeCell ref="Q31:V31"/>
    <mergeCell ref="Q40:V40"/>
    <mergeCell ref="Q41:V41"/>
    <mergeCell ref="Q42:V42"/>
    <mergeCell ref="Q38:V38"/>
    <mergeCell ref="Q39:V39"/>
    <mergeCell ref="Q37:V37"/>
  </mergeCells>
  <dataValidations count="5">
    <dataValidation type="list" errorStyle="warning" showInputMessage="1" showErrorMessage="1" errorTitle="SmartDox" error="The value you entered for the dropdown is not valid." sqref="H14 W14" xr:uid="{00000000-0002-0000-0D00-000000000000}">
      <formula1>SD_D_PL_TypeofAllocationRequested_Name</formula1>
    </dataValidation>
    <dataValidation type="list" errorStyle="warning" showInputMessage="1" showErrorMessage="1" errorTitle="SmartDox" error="The value you entered for the dropdown is not valid." sqref="H12 W12" xr:uid="{00000000-0002-0000-0D00-000001000000}">
      <formula1>SD_D_PL_TaxCreditPercentType_Name</formula1>
    </dataValidation>
    <dataValidation type="whole" operator="lessThanOrEqual" allowBlank="1" showInputMessage="1" showErrorMessage="1" error="HCDA Requested amount cannot exceed the Eligible HCDA amount." sqref="E7:H7" xr:uid="{00000000-0002-0000-0D00-000002000000}">
      <formula1>D7</formula1>
    </dataValidation>
    <dataValidation type="textLength" allowBlank="1" showInputMessage="1" showErrorMessage="1" error="Only enter 10-digit number, no dashes or spaces." sqref="I22" xr:uid="{00000000-0002-0000-0D00-000003000000}">
      <formula1>10</formula1>
      <formula2>10</formula2>
    </dataValidation>
    <dataValidation type="textLength" allowBlank="1" showInputMessage="1" showErrorMessage="1" error="Cannot exceed 50 characters" sqref="I19" xr:uid="{4972EADE-AAF5-4C56-9530-EFB7B7B010D1}">
      <formula1>0</formula1>
      <formula2>50</formula2>
    </dataValidation>
  </dataValidations>
  <pageMargins left="0.75" right="0.5" top="0.5" bottom="0.75" header="0" footer="0.5"/>
  <pageSetup scale="91" firstPageNumber="27" orientation="portrait" verticalDpi="300" r:id="rId1"/>
  <headerFooter alignWithMargins="0">
    <oddFooter>&amp;C&amp;A&amp;R&amp;D &amp;T</oddFooter>
  </headerFooter>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A1:R28"/>
  <sheetViews>
    <sheetView workbookViewId="0"/>
  </sheetViews>
  <sheetFormatPr defaultColWidth="9.7109375" defaultRowHeight="12.75"/>
  <cols>
    <col min="1" max="1" width="4.140625" style="12" customWidth="1"/>
    <col min="2" max="2" width="2.7109375" style="202" customWidth="1"/>
    <col min="3" max="3" width="18.7109375" style="202" customWidth="1"/>
    <col min="4" max="4" width="10.7109375" style="202" customWidth="1"/>
    <col min="5" max="8" width="12.28515625" style="202" customWidth="1"/>
    <col min="9" max="9" width="18.7109375" style="202" customWidth="1"/>
    <col min="10" max="10" width="10.7109375" style="202" customWidth="1"/>
    <col min="11" max="11" width="20.7109375" style="202" customWidth="1"/>
    <col min="12" max="12" width="18.7109375" style="202" customWidth="1"/>
    <col min="13" max="16384" width="9.7109375" style="4"/>
  </cols>
  <sheetData>
    <row r="1" spans="1:18" s="814" customFormat="1">
      <c r="A1" s="1302" t="str">
        <f>IF('FORM 1040-1'!D15="","",'FORM 1040-1'!D15)</f>
        <v/>
      </c>
      <c r="B1" s="1306"/>
      <c r="C1" s="1306"/>
      <c r="D1" s="1306"/>
      <c r="E1" s="1306"/>
      <c r="F1" s="1306"/>
      <c r="G1" s="1306"/>
      <c r="H1" s="1306"/>
      <c r="I1" s="1294" t="str">
        <f>IF('FORM 1040-1'!$E$12="","",'FORM 1040-1'!$E$12)</f>
        <v/>
      </c>
      <c r="J1" s="802"/>
      <c r="K1" s="802"/>
      <c r="L1" s="802"/>
    </row>
    <row r="2" spans="1:18" s="814" customFormat="1">
      <c r="A2" s="801"/>
      <c r="B2" s="802"/>
      <c r="C2" s="802"/>
      <c r="D2" s="802"/>
      <c r="E2" s="802"/>
      <c r="F2" s="802"/>
      <c r="G2" s="802"/>
      <c r="H2" s="802"/>
      <c r="I2" s="802"/>
      <c r="J2" s="802"/>
      <c r="K2" s="802"/>
      <c r="L2" s="802"/>
    </row>
    <row r="3" spans="1:18" ht="15.75" customHeight="1">
      <c r="A3" s="1704" t="s">
        <v>2308</v>
      </c>
      <c r="B3" s="1704"/>
      <c r="C3" s="1704"/>
      <c r="D3" s="1704"/>
      <c r="E3" s="1704"/>
      <c r="F3" s="1704"/>
      <c r="G3" s="1704"/>
      <c r="H3" s="1704"/>
      <c r="I3" s="1704"/>
      <c r="J3" s="157"/>
      <c r="K3" s="157"/>
      <c r="L3" s="157"/>
      <c r="M3" s="157"/>
      <c r="N3" s="157"/>
      <c r="O3" s="157"/>
      <c r="P3" s="157"/>
      <c r="Q3" s="157"/>
      <c r="R3" s="157"/>
    </row>
    <row r="4" spans="1:18" ht="12" customHeight="1">
      <c r="A4" s="268"/>
      <c r="B4" s="268"/>
      <c r="C4" s="268"/>
      <c r="D4" s="268"/>
      <c r="E4" s="268"/>
      <c r="F4" s="268"/>
      <c r="G4" s="268"/>
      <c r="H4" s="268"/>
      <c r="I4" s="268"/>
      <c r="J4" s="157"/>
      <c r="K4" s="157"/>
      <c r="L4" s="157"/>
      <c r="M4" s="157"/>
      <c r="N4" s="157"/>
      <c r="O4" s="157"/>
      <c r="P4" s="157"/>
      <c r="Q4" s="157"/>
      <c r="R4" s="157"/>
    </row>
    <row r="5" spans="1:18" ht="15" customHeight="1">
      <c r="A5" s="12" t="s">
        <v>194</v>
      </c>
      <c r="B5" s="1694" t="s">
        <v>601</v>
      </c>
      <c r="C5" s="1694"/>
      <c r="D5" s="1694"/>
      <c r="E5" s="1694"/>
      <c r="F5" s="1694"/>
      <c r="G5" s="1694"/>
      <c r="H5" s="1694"/>
      <c r="I5" s="1694"/>
    </row>
    <row r="6" spans="1:18" ht="12" customHeight="1"/>
    <row r="7" spans="1:18" s="216" customFormat="1" ht="80.099999999999994" customHeight="1">
      <c r="A7" s="215"/>
      <c r="B7" s="1752" t="s">
        <v>2457</v>
      </c>
      <c r="C7" s="1752"/>
      <c r="D7" s="1752"/>
      <c r="E7" s="1752"/>
      <c r="F7" s="1752"/>
      <c r="G7" s="1752"/>
      <c r="H7" s="1752"/>
      <c r="I7" s="1752"/>
      <c r="J7" s="218"/>
      <c r="K7" s="218"/>
      <c r="L7" s="218"/>
    </row>
    <row r="8" spans="1:18" ht="12" customHeight="1" thickBot="1"/>
    <row r="9" spans="1:18" ht="15" customHeight="1" thickTop="1" thickBot="1">
      <c r="B9" s="1613"/>
      <c r="C9" s="1614"/>
      <c r="D9" s="1615"/>
      <c r="E9" s="219" t="s">
        <v>17</v>
      </c>
      <c r="F9" s="220"/>
      <c r="G9" s="1780" t="s">
        <v>144</v>
      </c>
      <c r="H9" s="1781"/>
      <c r="I9" s="1782" t="s">
        <v>595</v>
      </c>
      <c r="K9" s="40"/>
      <c r="L9" s="40"/>
    </row>
    <row r="10" spans="1:18" ht="27" customHeight="1" thickTop="1" thickBot="1">
      <c r="B10" s="1629" t="s">
        <v>98</v>
      </c>
      <c r="C10" s="1634"/>
      <c r="D10" s="1630"/>
      <c r="E10" s="221" t="s">
        <v>18</v>
      </c>
      <c r="F10" s="221" t="s">
        <v>19</v>
      </c>
      <c r="G10" s="221" t="s">
        <v>18</v>
      </c>
      <c r="H10" s="221" t="s">
        <v>19</v>
      </c>
      <c r="I10" s="1783"/>
      <c r="K10" s="40"/>
      <c r="L10" s="40"/>
    </row>
    <row r="11" spans="1:18" ht="17.45" customHeight="1" thickTop="1" thickBot="1">
      <c r="B11" s="1777" t="s">
        <v>6</v>
      </c>
      <c r="C11" s="1778"/>
      <c r="D11" s="1779"/>
      <c r="E11" s="269">
        <f>+'FORM 1040-5a'!E14</f>
        <v>0</v>
      </c>
      <c r="F11" s="222"/>
      <c r="G11" s="269">
        <f>+'FORM 1040-5a'!G14</f>
        <v>0</v>
      </c>
      <c r="H11" s="222"/>
      <c r="I11" s="225">
        <f>+F11+H11</f>
        <v>0</v>
      </c>
      <c r="K11" s="40"/>
      <c r="L11" s="40"/>
    </row>
    <row r="12" spans="1:18" ht="17.45" customHeight="1" thickTop="1" thickBot="1">
      <c r="B12" s="1777" t="s">
        <v>7</v>
      </c>
      <c r="C12" s="1778"/>
      <c r="D12" s="1779"/>
      <c r="E12" s="269">
        <f>+'FORM 1040-5a'!E18</f>
        <v>0</v>
      </c>
      <c r="F12" s="222"/>
      <c r="G12" s="269">
        <f>+'FORM 1040-5a'!G18</f>
        <v>0</v>
      </c>
      <c r="H12" s="222"/>
      <c r="I12" s="225">
        <f t="shared" ref="I12:I24" si="0">+F12+H12</f>
        <v>0</v>
      </c>
      <c r="K12" s="40"/>
      <c r="L12" s="40"/>
    </row>
    <row r="13" spans="1:18" ht="17.45" customHeight="1" thickTop="1" thickBot="1">
      <c r="B13" s="1777" t="s">
        <v>8</v>
      </c>
      <c r="C13" s="1778"/>
      <c r="D13" s="1779"/>
      <c r="E13" s="269">
        <f>+'FORM 1040-5a'!E22</f>
        <v>0</v>
      </c>
      <c r="F13" s="222"/>
      <c r="G13" s="269">
        <f>+'FORM 1040-5a'!G22</f>
        <v>0</v>
      </c>
      <c r="H13" s="222"/>
      <c r="I13" s="225">
        <f t="shared" si="0"/>
        <v>0</v>
      </c>
      <c r="K13" s="40"/>
      <c r="L13" s="40"/>
    </row>
    <row r="14" spans="1:18" ht="17.45" customHeight="1" thickTop="1" thickBot="1">
      <c r="B14" s="1777" t="s">
        <v>9</v>
      </c>
      <c r="C14" s="1778"/>
      <c r="D14" s="1779"/>
      <c r="E14" s="269">
        <f>+'FORM 1040-5a'!E26</f>
        <v>0</v>
      </c>
      <c r="F14" s="222"/>
      <c r="G14" s="269">
        <f>+'FORM 1040-5a'!G26</f>
        <v>0</v>
      </c>
      <c r="H14" s="222"/>
      <c r="I14" s="225">
        <f t="shared" si="0"/>
        <v>0</v>
      </c>
      <c r="K14" s="40"/>
      <c r="L14" s="40"/>
    </row>
    <row r="15" spans="1:18" ht="17.45" customHeight="1" thickTop="1" thickBot="1">
      <c r="B15" s="1777" t="s">
        <v>10</v>
      </c>
      <c r="C15" s="1778"/>
      <c r="D15" s="1779"/>
      <c r="E15" s="269">
        <f>+'FORM 1040-5a'!E30</f>
        <v>0</v>
      </c>
      <c r="F15" s="222"/>
      <c r="G15" s="269">
        <f>+'FORM 1040-5a'!G30</f>
        <v>0</v>
      </c>
      <c r="H15" s="222"/>
      <c r="I15" s="225">
        <f t="shared" si="0"/>
        <v>0</v>
      </c>
      <c r="K15" s="40"/>
      <c r="L15" s="40"/>
    </row>
    <row r="16" spans="1:18" ht="17.45" customHeight="1" thickTop="1" thickBot="1">
      <c r="B16" s="1777" t="s">
        <v>11</v>
      </c>
      <c r="C16" s="1778"/>
      <c r="D16" s="1779"/>
      <c r="E16" s="269">
        <f>+'FORM 1040-5a'!E34</f>
        <v>0</v>
      </c>
      <c r="F16" s="222"/>
      <c r="G16" s="269">
        <f>+'FORM 1040-5a'!G34</f>
        <v>0</v>
      </c>
      <c r="H16" s="222"/>
      <c r="I16" s="225">
        <f t="shared" si="0"/>
        <v>0</v>
      </c>
      <c r="K16" s="40"/>
      <c r="L16" s="40"/>
    </row>
    <row r="17" spans="2:12" ht="17.45" customHeight="1" thickTop="1" thickBot="1">
      <c r="B17" s="1777" t="s">
        <v>323</v>
      </c>
      <c r="C17" s="1778"/>
      <c r="D17" s="1779"/>
      <c r="E17" s="269">
        <f>+'FORM 1040-5a'!E38</f>
        <v>0</v>
      </c>
      <c r="F17" s="222"/>
      <c r="G17" s="269">
        <f>+'FORM 1040-5a'!G38</f>
        <v>0</v>
      </c>
      <c r="H17" s="222"/>
      <c r="I17" s="225">
        <f t="shared" si="0"/>
        <v>0</v>
      </c>
      <c r="K17" s="40"/>
      <c r="L17" s="40"/>
    </row>
    <row r="18" spans="2:12" ht="17.45" customHeight="1" thickTop="1" thickBot="1">
      <c r="B18" s="1777" t="s">
        <v>324</v>
      </c>
      <c r="C18" s="1778"/>
      <c r="D18" s="1779"/>
      <c r="E18" s="269">
        <f>+'FORM 1040-5a'!E42</f>
        <v>0</v>
      </c>
      <c r="F18" s="222"/>
      <c r="G18" s="269">
        <f>+'FORM 1040-5a'!G42</f>
        <v>0</v>
      </c>
      <c r="H18" s="222"/>
      <c r="I18" s="225">
        <f t="shared" si="0"/>
        <v>0</v>
      </c>
      <c r="K18" s="40"/>
      <c r="L18" s="40"/>
    </row>
    <row r="19" spans="2:12" ht="17.45" customHeight="1" thickTop="1" thickBot="1">
      <c r="B19" s="1777" t="s">
        <v>325</v>
      </c>
      <c r="C19" s="1778"/>
      <c r="D19" s="1779"/>
      <c r="E19" s="269">
        <f>+'FORM 1040-5b'!E14</f>
        <v>0</v>
      </c>
      <c r="F19" s="222"/>
      <c r="G19" s="269">
        <f>+'FORM 1040-5b'!G14</f>
        <v>0</v>
      </c>
      <c r="H19" s="222"/>
      <c r="I19" s="225">
        <f t="shared" si="0"/>
        <v>0</v>
      </c>
      <c r="K19" s="40"/>
      <c r="L19" s="40"/>
    </row>
    <row r="20" spans="2:12" ht="17.45" customHeight="1" thickTop="1" thickBot="1">
      <c r="B20" s="1777" t="s">
        <v>326</v>
      </c>
      <c r="C20" s="1778"/>
      <c r="D20" s="1779"/>
      <c r="E20" s="269">
        <f>+'FORM 1040-5b'!E18</f>
        <v>0</v>
      </c>
      <c r="F20" s="222"/>
      <c r="G20" s="269">
        <f>+'FORM 1040-5b'!G18</f>
        <v>0</v>
      </c>
      <c r="H20" s="222"/>
      <c r="I20" s="225">
        <f t="shared" si="0"/>
        <v>0</v>
      </c>
      <c r="K20" s="40"/>
      <c r="L20" s="40"/>
    </row>
    <row r="21" spans="2:12" ht="17.45" customHeight="1" thickTop="1" thickBot="1">
      <c r="B21" s="1777" t="s">
        <v>327</v>
      </c>
      <c r="C21" s="1778"/>
      <c r="D21" s="1779"/>
      <c r="E21" s="269">
        <f>+'FORM 1040-5b'!E22</f>
        <v>0</v>
      </c>
      <c r="F21" s="222"/>
      <c r="G21" s="269">
        <f>+'FORM 1040-5b'!G22</f>
        <v>0</v>
      </c>
      <c r="H21" s="222"/>
      <c r="I21" s="225">
        <f t="shared" si="0"/>
        <v>0</v>
      </c>
      <c r="K21" s="40"/>
      <c r="L21" s="40"/>
    </row>
    <row r="22" spans="2:12" ht="17.45" customHeight="1" thickTop="1" thickBot="1">
      <c r="B22" s="1777" t="s">
        <v>328</v>
      </c>
      <c r="C22" s="1778"/>
      <c r="D22" s="1779"/>
      <c r="E22" s="269">
        <f>+'FORM 1040-5b'!E26</f>
        <v>0</v>
      </c>
      <c r="F22" s="222"/>
      <c r="G22" s="269">
        <f>+'FORM 1040-5b'!G26</f>
        <v>0</v>
      </c>
      <c r="H22" s="222"/>
      <c r="I22" s="225">
        <f t="shared" si="0"/>
        <v>0</v>
      </c>
      <c r="K22" s="40"/>
      <c r="L22" s="40"/>
    </row>
    <row r="23" spans="2:12" ht="17.45" customHeight="1" thickTop="1" thickBot="1">
      <c r="B23" s="1777" t="s">
        <v>329</v>
      </c>
      <c r="C23" s="1778"/>
      <c r="D23" s="1779"/>
      <c r="E23" s="269">
        <f>+'FORM 1040-5b'!E30</f>
        <v>0</v>
      </c>
      <c r="F23" s="222"/>
      <c r="G23" s="269">
        <f>+'FORM 1040-5b'!G30</f>
        <v>0</v>
      </c>
      <c r="H23" s="222"/>
      <c r="I23" s="225">
        <f t="shared" si="0"/>
        <v>0</v>
      </c>
      <c r="K23" s="40"/>
      <c r="L23" s="40"/>
    </row>
    <row r="24" spans="2:12" ht="17.45" customHeight="1" thickTop="1" thickBot="1">
      <c r="B24" s="1777" t="s">
        <v>330</v>
      </c>
      <c r="C24" s="1778"/>
      <c r="D24" s="1779"/>
      <c r="E24" s="269">
        <f>+'FORM 1040-5b'!E34</f>
        <v>0</v>
      </c>
      <c r="F24" s="222"/>
      <c r="G24" s="269">
        <f>+'FORM 1040-5b'!G34</f>
        <v>0</v>
      </c>
      <c r="H24" s="222"/>
      <c r="I24" s="225">
        <f t="shared" si="0"/>
        <v>0</v>
      </c>
      <c r="K24" s="40"/>
      <c r="L24" s="40"/>
    </row>
    <row r="25" spans="2:12" ht="17.45" customHeight="1" thickTop="1" thickBot="1">
      <c r="B25" s="1777" t="s">
        <v>331</v>
      </c>
      <c r="C25" s="1778"/>
      <c r="D25" s="1779"/>
      <c r="E25" s="230">
        <f>+'FORM 1040-5b'!E38</f>
        <v>0</v>
      </c>
      <c r="F25" s="226"/>
      <c r="G25" s="230">
        <f>+'FORM 1040-5b'!G38</f>
        <v>0</v>
      </c>
      <c r="H25" s="226"/>
      <c r="I25" s="225">
        <f>+F25+H25</f>
        <v>0</v>
      </c>
      <c r="K25" s="40"/>
      <c r="L25" s="40"/>
    </row>
    <row r="26" spans="2:12" ht="17.45" customHeight="1" thickTop="1" thickBot="1">
      <c r="B26" s="1777" t="s">
        <v>600</v>
      </c>
      <c r="C26" s="1778"/>
      <c r="D26" s="1779"/>
      <c r="E26" s="229">
        <f>SUM(E11:E25)</f>
        <v>0</v>
      </c>
      <c r="F26" s="229">
        <f>SUM(F11:F25)</f>
        <v>0</v>
      </c>
      <c r="G26" s="229">
        <f>SUM(G11:G25)</f>
        <v>0</v>
      </c>
      <c r="H26" s="229">
        <f>SUM(H11:H25)</f>
        <v>0</v>
      </c>
      <c r="I26" s="230">
        <f>+F26+H26</f>
        <v>0</v>
      </c>
      <c r="K26" s="40"/>
    </row>
    <row r="27" spans="2:12" ht="13.5" thickTop="1"/>
    <row r="28" spans="2:12">
      <c r="C28" s="202" t="s">
        <v>2418</v>
      </c>
    </row>
  </sheetData>
  <sheetProtection algorithmName="SHA-512" hashValue="cwWMkMJ8adgK9NHxnzJnZWdjbG565L+ZpaSZx6g/kpnM/Z2tyJ/uMEqERgFXGdcfKc3KxZez2C1ZGefOKbSQDg==" saltValue="QvGdv0eCG1hPISktdQOdog==" spinCount="100000" sheet="1" objects="1" scenarios="1"/>
  <mergeCells count="23">
    <mergeCell ref="B21:D21"/>
    <mergeCell ref="B11:D11"/>
    <mergeCell ref="B25:D25"/>
    <mergeCell ref="B26:D26"/>
    <mergeCell ref="B22:D22"/>
    <mergeCell ref="B23:D23"/>
    <mergeCell ref="B24:D24"/>
    <mergeCell ref="B16:D16"/>
    <mergeCell ref="B17:D17"/>
    <mergeCell ref="B18:D18"/>
    <mergeCell ref="B19:D19"/>
    <mergeCell ref="B20:D20"/>
    <mergeCell ref="A3:I3"/>
    <mergeCell ref="B12:D12"/>
    <mergeCell ref="B13:D13"/>
    <mergeCell ref="B14:D14"/>
    <mergeCell ref="B15:D15"/>
    <mergeCell ref="B5:I5"/>
    <mergeCell ref="B7:I7"/>
    <mergeCell ref="B9:D9"/>
    <mergeCell ref="G9:H9"/>
    <mergeCell ref="I9:I10"/>
    <mergeCell ref="B10:D10"/>
  </mergeCells>
  <pageMargins left="0.75" right="0.5" top="0.5" bottom="0.75" header="0" footer="0.5"/>
  <pageSetup scale="90" firstPageNumber="27" orientation="portrait" verticalDpi="300" r:id="rId1"/>
  <headerFooter alignWithMargins="0">
    <oddFooter>&amp;C&amp;A&amp;R&amp;D &amp;T</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A1:AX64"/>
  <sheetViews>
    <sheetView workbookViewId="0"/>
  </sheetViews>
  <sheetFormatPr defaultColWidth="9.5703125" defaultRowHeight="12.75"/>
  <cols>
    <col min="1" max="1" width="4.7109375" style="4" customWidth="1"/>
    <col min="2" max="2" width="2.7109375" style="4" customWidth="1"/>
    <col min="3" max="3" width="3.42578125" style="4" customWidth="1"/>
    <col min="4" max="4" width="2.7109375" style="12"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3.7109375" style="4" customWidth="1"/>
    <col min="13" max="13" width="9.7109375" style="4" customWidth="1"/>
    <col min="14" max="14" width="11.7109375" style="4" customWidth="1"/>
    <col min="15" max="15" width="6.7109375" style="4" customWidth="1"/>
    <col min="16" max="16" width="10.7109375" style="4" customWidth="1"/>
    <col min="17" max="17" width="4.7109375" style="4" customWidth="1"/>
    <col min="18" max="18" width="20.7109375" style="4" customWidth="1"/>
    <col min="19" max="19" width="5.7109375" style="4" customWidth="1"/>
    <col min="20" max="20" width="22.7109375" style="4" customWidth="1"/>
    <col min="21" max="21" width="15.7109375" style="4" customWidth="1"/>
    <col min="22" max="22" width="1.7109375" style="4" customWidth="1"/>
    <col min="23" max="26" width="12.7109375" style="4" customWidth="1"/>
    <col min="27" max="27" width="9.5703125" style="4"/>
    <col min="28" max="28" width="5.7109375" style="6" customWidth="1"/>
    <col min="29" max="29" width="4.7109375" style="4" hidden="1" customWidth="1"/>
    <col min="30" max="30" width="2.7109375" style="4" hidden="1" customWidth="1"/>
    <col min="31" max="31" width="3.42578125" style="4" hidden="1" customWidth="1"/>
    <col min="32" max="32" width="2.7109375" style="12" hidden="1" customWidth="1"/>
    <col min="33" max="33" width="4.7109375" style="4" hidden="1" customWidth="1"/>
    <col min="34" max="34" width="2.7109375" style="4" hidden="1" customWidth="1"/>
    <col min="35" max="35" width="4.7109375" style="4" hidden="1" customWidth="1"/>
    <col min="36" max="36" width="2.7109375" style="4" hidden="1" customWidth="1"/>
    <col min="37" max="37" width="4.7109375" style="4" hidden="1" customWidth="1"/>
    <col min="38" max="38" width="2.7109375" style="4" hidden="1" customWidth="1"/>
    <col min="39" max="39" width="4.7109375" style="4" hidden="1" customWidth="1"/>
    <col min="40" max="40" width="3.7109375" style="4" hidden="1" customWidth="1"/>
    <col min="41" max="41" width="8.7109375" style="4" hidden="1" customWidth="1"/>
    <col min="42" max="42" width="11.7109375" style="4" hidden="1" customWidth="1"/>
    <col min="43" max="43" width="6.7109375" style="4" hidden="1" customWidth="1"/>
    <col min="44" max="44" width="10.7109375" style="4" hidden="1" customWidth="1"/>
    <col min="45" max="45" width="3.7109375" style="4" hidden="1" customWidth="1"/>
    <col min="46" max="46" width="19.7109375" style="4" hidden="1" customWidth="1"/>
    <col min="47" max="47" width="10.7109375" style="39" hidden="1" customWidth="1"/>
    <col min="48" max="48" width="20.7109375" style="4" hidden="1" customWidth="1"/>
    <col min="49" max="49" width="11.42578125" style="4" hidden="1" customWidth="1"/>
    <col min="50" max="50" width="5.7109375" style="6" customWidth="1"/>
    <col min="51" max="55" width="9.5703125" style="4" customWidth="1"/>
    <col min="56" max="16384" width="9.5703125" style="4"/>
  </cols>
  <sheetData>
    <row r="1" spans="1:50" s="814" customFormat="1">
      <c r="A1" s="1302" t="str">
        <f>IF('FORM 1040-1'!D15="","",'FORM 1040-1'!D15)</f>
        <v/>
      </c>
      <c r="B1" s="1303"/>
      <c r="C1" s="1303"/>
      <c r="D1" s="1304"/>
      <c r="E1" s="1303"/>
      <c r="F1" s="1303"/>
      <c r="G1" s="1303"/>
      <c r="H1" s="1303"/>
      <c r="I1" s="1303"/>
      <c r="J1" s="1303"/>
      <c r="K1" s="1303"/>
      <c r="L1" s="1303"/>
      <c r="M1" s="1303"/>
      <c r="N1" s="1303"/>
      <c r="O1" s="1303"/>
      <c r="P1" s="1303"/>
      <c r="Q1" s="1303"/>
      <c r="R1" s="1294" t="str">
        <f>IF('FORM 1040-1'!$E$12="","",'FORM 1040-1'!$E$12)</f>
        <v/>
      </c>
      <c r="AB1" s="6"/>
      <c r="AF1" s="801"/>
      <c r="AU1" s="39"/>
      <c r="AV1" s="293" t="s">
        <v>644</v>
      </c>
      <c r="AW1" s="293" t="b">
        <v>1</v>
      </c>
      <c r="AX1" s="6"/>
    </row>
    <row r="2" spans="1:50" s="814" customFormat="1" ht="12.75" customHeight="1">
      <c r="D2" s="801"/>
      <c r="U2" s="1319"/>
      <c r="AB2" s="6"/>
      <c r="AF2" s="801"/>
      <c r="AU2" s="39"/>
      <c r="AV2" s="293" t="s">
        <v>291</v>
      </c>
      <c r="AW2" s="293" t="b">
        <v>0</v>
      </c>
      <c r="AX2" s="6"/>
    </row>
    <row r="3" spans="1:50" s="1318" customFormat="1" ht="15" customHeight="1">
      <c r="A3" s="12" t="s">
        <v>222</v>
      </c>
      <c r="B3" s="1277" t="s">
        <v>53</v>
      </c>
      <c r="C3" s="1593" t="s">
        <v>2424</v>
      </c>
      <c r="D3" s="1593"/>
      <c r="E3" s="1593"/>
      <c r="F3" s="1593"/>
      <c r="G3" s="1593"/>
      <c r="H3" s="1593"/>
      <c r="I3" s="1593"/>
      <c r="J3" s="1593"/>
      <c r="K3" s="1593"/>
      <c r="L3" s="1593"/>
      <c r="M3" s="1593"/>
      <c r="N3" s="1593"/>
      <c r="O3" s="1593"/>
      <c r="P3" s="1593"/>
      <c r="Q3" s="1593"/>
      <c r="R3" s="1593"/>
      <c r="T3" s="1800" t="s">
        <v>1621</v>
      </c>
      <c r="U3" s="1800"/>
      <c r="AB3" s="6"/>
      <c r="AF3" s="1317"/>
      <c r="AU3" s="1322"/>
      <c r="AV3" s="1364"/>
      <c r="AW3" s="293" t="s">
        <v>312</v>
      </c>
      <c r="AX3" s="6"/>
    </row>
    <row r="4" spans="1:50" s="1318" customFormat="1" ht="6" customHeight="1" thickBot="1">
      <c r="A4" s="1272"/>
      <c r="B4" s="1277"/>
      <c r="C4" s="1274"/>
      <c r="D4" s="1274"/>
      <c r="E4" s="1274"/>
      <c r="F4" s="1274"/>
      <c r="G4" s="1274"/>
      <c r="H4" s="1274"/>
      <c r="I4" s="1274"/>
      <c r="J4" s="1274"/>
      <c r="K4" s="1274"/>
      <c r="L4" s="1274"/>
      <c r="M4" s="1274"/>
      <c r="N4" s="1274"/>
      <c r="O4" s="1274"/>
      <c r="P4" s="1274"/>
      <c r="Q4" s="1274"/>
      <c r="R4" s="1274"/>
      <c r="T4" s="1800"/>
      <c r="U4" s="1800"/>
      <c r="AB4" s="6"/>
      <c r="AF4" s="1317"/>
      <c r="AU4" s="1322"/>
      <c r="AV4" s="1364"/>
      <c r="AW4" s="1364"/>
      <c r="AX4" s="6"/>
    </row>
    <row r="5" spans="1:50" s="1318" customFormat="1" ht="15" customHeight="1" thickTop="1" thickBot="1">
      <c r="A5" s="4"/>
      <c r="B5" s="4"/>
      <c r="C5" s="1927" t="s">
        <v>2419</v>
      </c>
      <c r="D5" s="1927"/>
      <c r="E5" s="1927"/>
      <c r="F5" s="1927"/>
      <c r="G5" s="1927"/>
      <c r="H5" s="1927"/>
      <c r="I5" s="1927"/>
      <c r="J5" s="1927"/>
      <c r="K5" s="1927"/>
      <c r="L5" s="1927" t="s">
        <v>2420</v>
      </c>
      <c r="M5" s="1927"/>
      <c r="N5" s="1927"/>
      <c r="O5" s="1927"/>
      <c r="P5" s="1927"/>
      <c r="Q5" s="1927"/>
      <c r="R5" s="1927"/>
      <c r="T5" s="1800"/>
      <c r="U5" s="1800"/>
      <c r="AB5" s="6"/>
      <c r="AF5" s="1317"/>
      <c r="AU5" s="1322"/>
      <c r="AV5" s="1364"/>
      <c r="AW5" s="1364"/>
      <c r="AX5" s="6"/>
    </row>
    <row r="6" spans="1:50" s="1318" customFormat="1" ht="15" customHeight="1" thickTop="1" thickBot="1">
      <c r="A6" s="4"/>
      <c r="B6" s="4"/>
      <c r="C6" s="1928"/>
      <c r="D6" s="1928"/>
      <c r="E6" s="1928"/>
      <c r="F6" s="1928"/>
      <c r="G6" s="1928"/>
      <c r="H6" s="1928"/>
      <c r="I6" s="1928"/>
      <c r="J6" s="1928"/>
      <c r="K6" s="1928"/>
      <c r="L6" s="1929"/>
      <c r="M6" s="1929"/>
      <c r="N6" s="1929"/>
      <c r="O6" s="1929"/>
      <c r="P6" s="1929"/>
      <c r="Q6" s="1929"/>
      <c r="R6" s="1929"/>
      <c r="T6" s="1800"/>
      <c r="U6" s="1800"/>
      <c r="AB6" s="6"/>
      <c r="AF6" s="1317"/>
      <c r="AU6" s="1322"/>
      <c r="AV6" s="1364"/>
      <c r="AW6" s="1364"/>
      <c r="AX6" s="6"/>
    </row>
    <row r="7" spans="1:50" s="1318" customFormat="1" ht="6" customHeight="1" thickTop="1">
      <c r="D7" s="1317"/>
      <c r="T7" s="1319"/>
      <c r="U7" s="1319"/>
      <c r="AB7" s="6"/>
      <c r="AF7" s="1317"/>
      <c r="AU7" s="1322"/>
      <c r="AV7" s="1364"/>
      <c r="AW7" s="1364"/>
      <c r="AX7" s="6"/>
    </row>
    <row r="8" spans="1:50" ht="15" customHeight="1">
      <c r="B8" s="85" t="s">
        <v>54</v>
      </c>
      <c r="C8" s="1694" t="s">
        <v>2423</v>
      </c>
      <c r="D8" s="1694"/>
      <c r="E8" s="1694"/>
      <c r="F8" s="1694"/>
      <c r="G8" s="1694"/>
      <c r="H8" s="1694"/>
      <c r="I8" s="1694"/>
      <c r="J8" s="1694"/>
      <c r="K8" s="1694"/>
      <c r="L8" s="1694"/>
      <c r="M8" s="1694"/>
      <c r="N8" s="1694"/>
      <c r="O8" s="1694"/>
      <c r="P8" s="1694"/>
      <c r="Q8" s="1694"/>
      <c r="R8" s="1694"/>
      <c r="T8" s="1319"/>
      <c r="U8" s="1319"/>
      <c r="AC8" s="12" t="s">
        <v>222</v>
      </c>
      <c r="AD8" s="1320" t="s">
        <v>54</v>
      </c>
      <c r="AE8" s="1694" t="s">
        <v>2114</v>
      </c>
      <c r="AF8" s="1694"/>
      <c r="AG8" s="1694"/>
      <c r="AH8" s="1694"/>
      <c r="AI8" s="1694"/>
      <c r="AJ8" s="1694"/>
      <c r="AK8" s="1694"/>
      <c r="AL8" s="1694"/>
      <c r="AM8" s="1694"/>
      <c r="AN8" s="1694"/>
      <c r="AO8" s="1694"/>
      <c r="AP8" s="1694"/>
      <c r="AQ8" s="1694"/>
      <c r="AR8" s="1694"/>
      <c r="AS8" s="1694"/>
      <c r="AT8" s="1694"/>
      <c r="AV8" s="1366"/>
      <c r="AW8" s="1364"/>
    </row>
    <row r="9" spans="1:50" ht="6" customHeight="1" thickBot="1">
      <c r="C9" s="202"/>
      <c r="D9" s="202"/>
      <c r="E9" s="202"/>
      <c r="F9" s="202"/>
      <c r="G9" s="202"/>
      <c r="H9" s="202"/>
      <c r="I9" s="202"/>
      <c r="J9" s="202"/>
      <c r="K9" s="202"/>
      <c r="L9" s="202"/>
      <c r="M9" s="202"/>
      <c r="N9" s="202"/>
      <c r="O9" s="202"/>
      <c r="P9" s="202"/>
      <c r="Q9" s="202"/>
      <c r="R9" s="202"/>
      <c r="T9" s="1319"/>
      <c r="U9" s="1319"/>
      <c r="AE9" s="202"/>
      <c r="AF9" s="202"/>
      <c r="AG9" s="202"/>
      <c r="AH9" s="202"/>
      <c r="AI9" s="202"/>
      <c r="AJ9" s="202"/>
      <c r="AK9" s="202"/>
      <c r="AL9" s="202"/>
      <c r="AM9" s="202"/>
      <c r="AN9" s="202"/>
      <c r="AO9" s="202"/>
      <c r="AP9" s="202"/>
      <c r="AQ9" s="202"/>
      <c r="AR9" s="202"/>
      <c r="AS9" s="202"/>
      <c r="AT9" s="202"/>
      <c r="AV9" s="1363"/>
      <c r="AW9" s="1363"/>
    </row>
    <row r="10" spans="1:50" s="202" customFormat="1" ht="12.95" customHeight="1" thickTop="1">
      <c r="D10" s="1613" t="s">
        <v>150</v>
      </c>
      <c r="E10" s="1614"/>
      <c r="F10" s="1614"/>
      <c r="G10" s="1614"/>
      <c r="H10" s="1614"/>
      <c r="I10" s="1614"/>
      <c r="J10" s="1614"/>
      <c r="K10" s="1614"/>
      <c r="L10" s="1615"/>
      <c r="M10" s="1613" t="s">
        <v>89</v>
      </c>
      <c r="N10" s="1615"/>
      <c r="O10" s="1613" t="s">
        <v>2390</v>
      </c>
      <c r="P10" s="1614"/>
      <c r="Q10" s="1615"/>
      <c r="R10" s="46" t="s">
        <v>88</v>
      </c>
      <c r="T10" s="1319"/>
      <c r="U10" s="1319"/>
      <c r="AB10" s="270"/>
      <c r="AF10" s="1613" t="s">
        <v>150</v>
      </c>
      <c r="AG10" s="1614"/>
      <c r="AH10" s="1614"/>
      <c r="AI10" s="1614"/>
      <c r="AJ10" s="1614"/>
      <c r="AK10" s="1614"/>
      <c r="AL10" s="1614"/>
      <c r="AM10" s="1614"/>
      <c r="AN10" s="1615"/>
      <c r="AO10" s="1613" t="s">
        <v>89</v>
      </c>
      <c r="AP10" s="1615"/>
      <c r="AQ10" s="1613" t="s">
        <v>2390</v>
      </c>
      <c r="AR10" s="1614"/>
      <c r="AS10" s="1615"/>
      <c r="AT10" s="46" t="s">
        <v>88</v>
      </c>
      <c r="AU10" s="271"/>
      <c r="AV10" s="1365"/>
      <c r="AW10" s="1365"/>
      <c r="AX10" s="270"/>
    </row>
    <row r="11" spans="1:50" s="202" customFormat="1" ht="12.95" customHeight="1" thickBot="1">
      <c r="D11" s="1629" t="s">
        <v>148</v>
      </c>
      <c r="E11" s="1634"/>
      <c r="F11" s="1634"/>
      <c r="G11" s="1634"/>
      <c r="H11" s="1634"/>
      <c r="I11" s="1634"/>
      <c r="J11" s="1634"/>
      <c r="K11" s="1634"/>
      <c r="L11" s="1630"/>
      <c r="M11" s="1629" t="s">
        <v>91</v>
      </c>
      <c r="N11" s="1630"/>
      <c r="O11" s="1629" t="s">
        <v>333</v>
      </c>
      <c r="P11" s="1634"/>
      <c r="Q11" s="1630"/>
      <c r="R11" s="51" t="s">
        <v>90</v>
      </c>
      <c r="AB11" s="270"/>
      <c r="AF11" s="1629" t="s">
        <v>148</v>
      </c>
      <c r="AG11" s="1634"/>
      <c r="AH11" s="1634"/>
      <c r="AI11" s="1634"/>
      <c r="AJ11" s="1634"/>
      <c r="AK11" s="1634"/>
      <c r="AL11" s="1634"/>
      <c r="AM11" s="1634"/>
      <c r="AN11" s="1630"/>
      <c r="AO11" s="1629" t="s">
        <v>91</v>
      </c>
      <c r="AP11" s="1630"/>
      <c r="AQ11" s="1629" t="s">
        <v>333</v>
      </c>
      <c r="AR11" s="1634"/>
      <c r="AS11" s="1630"/>
      <c r="AT11" s="51" t="s">
        <v>90</v>
      </c>
      <c r="AU11" s="271"/>
      <c r="AV11" s="1365"/>
      <c r="AW11" s="1365"/>
      <c r="AX11" s="270"/>
    </row>
    <row r="12" spans="1:50" s="202" customFormat="1" ht="15.95" customHeight="1" thickTop="1" thickBot="1">
      <c r="A12" s="1590"/>
      <c r="B12" s="1590"/>
      <c r="C12" s="132">
        <v>1</v>
      </c>
      <c r="D12" s="1659"/>
      <c r="E12" s="1650"/>
      <c r="F12" s="1650"/>
      <c r="G12" s="1650"/>
      <c r="H12" s="1650"/>
      <c r="I12" s="1650"/>
      <c r="J12" s="1650"/>
      <c r="K12" s="1650"/>
      <c r="L12" s="1660"/>
      <c r="M12" s="1859"/>
      <c r="N12" s="1860"/>
      <c r="O12" s="1859"/>
      <c r="P12" s="1861"/>
      <c r="Q12" s="1860"/>
      <c r="R12" s="272"/>
      <c r="T12" s="1807" t="s">
        <v>2427</v>
      </c>
      <c r="U12" s="1808"/>
      <c r="W12" s="1812" t="s">
        <v>2429</v>
      </c>
      <c r="X12" s="1812"/>
      <c r="Y12" s="1812"/>
      <c r="Z12" s="1812"/>
      <c r="AA12" s="1812"/>
      <c r="AB12" s="270"/>
      <c r="AE12" s="132">
        <v>1</v>
      </c>
      <c r="AF12" s="1851" t="str">
        <f>IF(D12="","",(D12))</f>
        <v/>
      </c>
      <c r="AG12" s="1853"/>
      <c r="AH12" s="1853"/>
      <c r="AI12" s="1853"/>
      <c r="AJ12" s="1853"/>
      <c r="AK12" s="1853"/>
      <c r="AL12" s="1853"/>
      <c r="AM12" s="1853"/>
      <c r="AN12" s="1854"/>
      <c r="AO12" s="1849" t="str">
        <f>IF(M12="","",(M12))</f>
        <v/>
      </c>
      <c r="AP12" s="1850"/>
      <c r="AQ12" s="1849" t="str">
        <f>IF(O12="","",(O12))</f>
        <v/>
      </c>
      <c r="AR12" s="1852"/>
      <c r="AS12" s="1850"/>
      <c r="AT12" s="139" t="str">
        <f>IF(R12="","",(R12))</f>
        <v/>
      </c>
      <c r="AU12" s="271"/>
      <c r="AX12" s="270"/>
    </row>
    <row r="13" spans="1:50" s="202" customFormat="1" ht="15.95" customHeight="1" thickTop="1" thickBot="1">
      <c r="A13" s="1923" t="s">
        <v>2893</v>
      </c>
      <c r="B13" s="1924"/>
      <c r="C13" s="132">
        <v>2</v>
      </c>
      <c r="D13" s="1659"/>
      <c r="E13" s="1650"/>
      <c r="F13" s="1650"/>
      <c r="G13" s="1650"/>
      <c r="H13" s="1650"/>
      <c r="I13" s="1650"/>
      <c r="J13" s="1650"/>
      <c r="K13" s="1650"/>
      <c r="L13" s="1660"/>
      <c r="M13" s="1859"/>
      <c r="N13" s="1860"/>
      <c r="O13" s="1859"/>
      <c r="P13" s="1861"/>
      <c r="Q13" s="1860"/>
      <c r="R13" s="1087"/>
      <c r="T13" s="1809"/>
      <c r="U13" s="1810"/>
      <c r="W13" s="1812"/>
      <c r="X13" s="1812"/>
      <c r="Y13" s="1812"/>
      <c r="Z13" s="1812"/>
      <c r="AA13" s="1812"/>
      <c r="AB13" s="270"/>
      <c r="AE13" s="132">
        <v>2</v>
      </c>
      <c r="AF13" s="1851" t="str">
        <f t="shared" ref="AF13:AF15" si="0">IF(D13="","",(D13))</f>
        <v/>
      </c>
      <c r="AG13" s="1835"/>
      <c r="AH13" s="1835"/>
      <c r="AI13" s="1835"/>
      <c r="AJ13" s="1835"/>
      <c r="AK13" s="1835"/>
      <c r="AL13" s="1835"/>
      <c r="AM13" s="1835"/>
      <c r="AN13" s="1836"/>
      <c r="AO13" s="1849" t="str">
        <f t="shared" ref="AO13:AO17" si="1">IF(M13="","",(M13))</f>
        <v/>
      </c>
      <c r="AP13" s="1850"/>
      <c r="AQ13" s="1849" t="str">
        <f t="shared" ref="AQ13:AQ17" si="2">IF(O13="","",(O13))</f>
        <v/>
      </c>
      <c r="AR13" s="1852"/>
      <c r="AS13" s="1850"/>
      <c r="AT13" s="139" t="str">
        <f t="shared" ref="AT13:AT20" si="3">IF(R13="","",(R13))</f>
        <v/>
      </c>
      <c r="AU13" s="271"/>
      <c r="AX13" s="270"/>
    </row>
    <row r="14" spans="1:50" s="202" customFormat="1" ht="15.95" customHeight="1" thickTop="1" thickBot="1">
      <c r="A14" s="1925"/>
      <c r="B14" s="1926"/>
      <c r="C14" s="132">
        <v>3</v>
      </c>
      <c r="D14" s="1659"/>
      <c r="E14" s="1650"/>
      <c r="F14" s="1650"/>
      <c r="G14" s="1650"/>
      <c r="H14" s="1650"/>
      <c r="I14" s="1650"/>
      <c r="J14" s="1650"/>
      <c r="K14" s="1650"/>
      <c r="L14" s="1660"/>
      <c r="M14" s="1859"/>
      <c r="N14" s="1860"/>
      <c r="O14" s="1859"/>
      <c r="P14" s="1861"/>
      <c r="Q14" s="1860"/>
      <c r="R14" s="1087"/>
      <c r="T14" s="1811"/>
      <c r="U14" s="1810"/>
      <c r="W14" s="1813" t="s">
        <v>2428</v>
      </c>
      <c r="X14" s="1813"/>
      <c r="Y14" s="1813"/>
      <c r="Z14" s="1813"/>
      <c r="AA14" s="1813"/>
      <c r="AB14" s="270"/>
      <c r="AE14" s="132">
        <v>3</v>
      </c>
      <c r="AF14" s="1851" t="str">
        <f t="shared" si="0"/>
        <v/>
      </c>
      <c r="AG14" s="1835"/>
      <c r="AH14" s="1835"/>
      <c r="AI14" s="1835"/>
      <c r="AJ14" s="1835"/>
      <c r="AK14" s="1835"/>
      <c r="AL14" s="1835"/>
      <c r="AM14" s="1835"/>
      <c r="AN14" s="1836"/>
      <c r="AO14" s="1849" t="str">
        <f t="shared" si="1"/>
        <v/>
      </c>
      <c r="AP14" s="1850"/>
      <c r="AQ14" s="1849" t="str">
        <f t="shared" si="2"/>
        <v/>
      </c>
      <c r="AR14" s="1852"/>
      <c r="AS14" s="1850"/>
      <c r="AT14" s="139" t="str">
        <f t="shared" si="3"/>
        <v/>
      </c>
      <c r="AU14" s="271"/>
      <c r="AX14" s="270"/>
    </row>
    <row r="15" spans="1:50" s="202" customFormat="1" ht="15.95" customHeight="1" thickTop="1" thickBot="1">
      <c r="A15" s="1803"/>
      <c r="B15" s="1804"/>
      <c r="C15" s="132">
        <v>4</v>
      </c>
      <c r="D15" s="1659"/>
      <c r="E15" s="1650"/>
      <c r="F15" s="1650"/>
      <c r="G15" s="1650"/>
      <c r="H15" s="1650"/>
      <c r="I15" s="1650"/>
      <c r="J15" s="1650"/>
      <c r="K15" s="1650"/>
      <c r="L15" s="1660"/>
      <c r="M15" s="1859"/>
      <c r="N15" s="1860"/>
      <c r="O15" s="1859"/>
      <c r="P15" s="1861"/>
      <c r="Q15" s="1860"/>
      <c r="R15" s="1087"/>
      <c r="T15" s="1311"/>
      <c r="U15" s="1312"/>
      <c r="W15" s="1313"/>
      <c r="X15" s="1313"/>
      <c r="Y15" s="1313"/>
      <c r="Z15" s="1313"/>
      <c r="AA15" s="1313"/>
      <c r="AB15" s="270"/>
      <c r="AE15" s="132">
        <v>4</v>
      </c>
      <c r="AF15" s="1851" t="str">
        <f t="shared" si="0"/>
        <v/>
      </c>
      <c r="AG15" s="1835"/>
      <c r="AH15" s="1835"/>
      <c r="AI15" s="1835"/>
      <c r="AJ15" s="1835"/>
      <c r="AK15" s="1835"/>
      <c r="AL15" s="1835"/>
      <c r="AM15" s="1835"/>
      <c r="AN15" s="1836"/>
      <c r="AO15" s="1849" t="str">
        <f t="shared" si="1"/>
        <v/>
      </c>
      <c r="AP15" s="1850"/>
      <c r="AQ15" s="1849" t="str">
        <f t="shared" si="2"/>
        <v/>
      </c>
      <c r="AR15" s="1852"/>
      <c r="AS15" s="1850"/>
      <c r="AT15" s="139" t="str">
        <f t="shared" si="3"/>
        <v/>
      </c>
      <c r="AU15" s="271"/>
      <c r="AX15" s="270"/>
    </row>
    <row r="16" spans="1:50" s="202" customFormat="1" ht="15.95" customHeight="1" thickTop="1" thickBot="1">
      <c r="A16" s="1801" t="s">
        <v>2426</v>
      </c>
      <c r="B16" s="1802"/>
      <c r="C16" s="132">
        <v>5</v>
      </c>
      <c r="D16" s="1659"/>
      <c r="E16" s="1650"/>
      <c r="F16" s="1650"/>
      <c r="G16" s="1650"/>
      <c r="H16" s="1650"/>
      <c r="I16" s="1650"/>
      <c r="J16" s="1650"/>
      <c r="K16" s="1650"/>
      <c r="L16" s="1660"/>
      <c r="M16" s="1859"/>
      <c r="N16" s="1860"/>
      <c r="O16" s="1859"/>
      <c r="P16" s="1861"/>
      <c r="Q16" s="1860"/>
      <c r="R16" s="1087"/>
      <c r="V16" s="638"/>
      <c r="W16" s="638"/>
      <c r="X16" s="638"/>
      <c r="Y16" s="638"/>
      <c r="Z16" s="638"/>
      <c r="AB16" s="270"/>
      <c r="AE16" s="132">
        <v>5</v>
      </c>
      <c r="AF16" s="1851" t="str">
        <f>IF(D16="","",(D16))</f>
        <v/>
      </c>
      <c r="AG16" s="1835"/>
      <c r="AH16" s="1835"/>
      <c r="AI16" s="1835"/>
      <c r="AJ16" s="1835"/>
      <c r="AK16" s="1835"/>
      <c r="AL16" s="1835"/>
      <c r="AM16" s="1835"/>
      <c r="AN16" s="1836"/>
      <c r="AO16" s="1849" t="str">
        <f t="shared" si="1"/>
        <v/>
      </c>
      <c r="AP16" s="1850"/>
      <c r="AQ16" s="1849" t="str">
        <f t="shared" si="2"/>
        <v/>
      </c>
      <c r="AR16" s="1852"/>
      <c r="AS16" s="1850"/>
      <c r="AT16" s="139" t="str">
        <f t="shared" si="3"/>
        <v/>
      </c>
      <c r="AU16" s="271"/>
      <c r="AX16" s="270"/>
    </row>
    <row r="17" spans="1:50" s="202" customFormat="1" ht="15.95" customHeight="1" thickTop="1" thickBot="1">
      <c r="A17" s="1803"/>
      <c r="B17" s="1804"/>
      <c r="C17" s="132">
        <v>6</v>
      </c>
      <c r="D17" s="1659"/>
      <c r="E17" s="1650"/>
      <c r="F17" s="1650"/>
      <c r="G17" s="1650"/>
      <c r="H17" s="1650"/>
      <c r="I17" s="1650"/>
      <c r="J17" s="1650"/>
      <c r="K17" s="1650"/>
      <c r="L17" s="1660"/>
      <c r="M17" s="1859"/>
      <c r="N17" s="1860"/>
      <c r="O17" s="1859"/>
      <c r="P17" s="1861"/>
      <c r="Q17" s="1860"/>
      <c r="R17" s="1087"/>
      <c r="V17" s="638"/>
      <c r="W17" s="1310"/>
      <c r="X17" s="638"/>
      <c r="Y17" s="638"/>
      <c r="Z17" s="638"/>
      <c r="AB17" s="270"/>
      <c r="AE17" s="132">
        <v>6</v>
      </c>
      <c r="AF17" s="1851" t="str">
        <f>IF(D17="","",(D17))</f>
        <v/>
      </c>
      <c r="AG17" s="1835"/>
      <c r="AH17" s="1835"/>
      <c r="AI17" s="1835"/>
      <c r="AJ17" s="1835"/>
      <c r="AK17" s="1835"/>
      <c r="AL17" s="1835"/>
      <c r="AM17" s="1835"/>
      <c r="AN17" s="1836"/>
      <c r="AO17" s="1849" t="str">
        <f t="shared" si="1"/>
        <v/>
      </c>
      <c r="AP17" s="1850"/>
      <c r="AQ17" s="1849" t="str">
        <f t="shared" si="2"/>
        <v/>
      </c>
      <c r="AR17" s="1852"/>
      <c r="AS17" s="1850"/>
      <c r="AT17" s="139" t="str">
        <f t="shared" si="3"/>
        <v/>
      </c>
      <c r="AU17" s="271"/>
      <c r="AX17" s="270"/>
    </row>
    <row r="18" spans="1:50" s="202" customFormat="1" ht="15.95" customHeight="1" thickTop="1" thickBot="1">
      <c r="A18" s="1805" t="str">
        <f>IF(U15="","",U15)</f>
        <v/>
      </c>
      <c r="B18" s="1806"/>
      <c r="C18" s="132">
        <v>7</v>
      </c>
      <c r="D18" s="1868" t="s">
        <v>2244</v>
      </c>
      <c r="E18" s="1869"/>
      <c r="F18" s="1869"/>
      <c r="G18" s="1869"/>
      <c r="H18" s="1869"/>
      <c r="I18" s="1869"/>
      <c r="J18" s="1869"/>
      <c r="K18" s="1869"/>
      <c r="L18" s="1870"/>
      <c r="M18" s="1859"/>
      <c r="N18" s="1860"/>
      <c r="O18" s="1859"/>
      <c r="P18" s="1861"/>
      <c r="Q18" s="1860"/>
      <c r="R18" s="1087"/>
      <c r="T18" s="1893" t="s">
        <v>649</v>
      </c>
      <c r="U18" s="1894"/>
      <c r="V18" s="638"/>
      <c r="AB18" s="270"/>
      <c r="AE18" s="132">
        <v>7</v>
      </c>
      <c r="AF18" s="1851" t="str">
        <f t="shared" ref="AF18:AF22" si="4">IF(R18="","",(D18))</f>
        <v/>
      </c>
      <c r="AG18" s="1835"/>
      <c r="AH18" s="1835"/>
      <c r="AI18" s="1835"/>
      <c r="AJ18" s="1835"/>
      <c r="AK18" s="1835"/>
      <c r="AL18" s="1835"/>
      <c r="AM18" s="1835"/>
      <c r="AN18" s="1836"/>
      <c r="AO18" s="1849" t="str">
        <f>IF(M18="","",(M18))</f>
        <v/>
      </c>
      <c r="AP18" s="1850"/>
      <c r="AQ18" s="1849" t="str">
        <f>IF(M18="","",(O18))</f>
        <v/>
      </c>
      <c r="AR18" s="1852"/>
      <c r="AS18" s="1850"/>
      <c r="AT18" s="139" t="str">
        <f t="shared" si="3"/>
        <v/>
      </c>
      <c r="AU18" s="271"/>
      <c r="AX18" s="270"/>
    </row>
    <row r="19" spans="1:50" s="202" customFormat="1" ht="15.95" customHeight="1" thickTop="1" thickBot="1">
      <c r="A19" s="1921" t="s">
        <v>2892</v>
      </c>
      <c r="B19" s="1922"/>
      <c r="C19" s="132">
        <v>8</v>
      </c>
      <c r="D19" s="1862" t="s">
        <v>2245</v>
      </c>
      <c r="E19" s="1863"/>
      <c r="F19" s="1863"/>
      <c r="G19" s="1863"/>
      <c r="H19" s="1863"/>
      <c r="I19" s="1863"/>
      <c r="J19" s="1863"/>
      <c r="K19" s="1863"/>
      <c r="L19" s="1864"/>
      <c r="M19" s="1859"/>
      <c r="N19" s="1860"/>
      <c r="O19" s="1859"/>
      <c r="P19" s="1861"/>
      <c r="Q19" s="1860"/>
      <c r="R19" s="1087"/>
      <c r="T19" s="1895"/>
      <c r="U19" s="1896"/>
      <c r="AB19" s="270"/>
      <c r="AE19" s="132">
        <v>8</v>
      </c>
      <c r="AF19" s="1851" t="str">
        <f t="shared" si="4"/>
        <v/>
      </c>
      <c r="AG19" s="1835"/>
      <c r="AH19" s="1835"/>
      <c r="AI19" s="1835"/>
      <c r="AJ19" s="1835"/>
      <c r="AK19" s="1835"/>
      <c r="AL19" s="1835"/>
      <c r="AM19" s="1835"/>
      <c r="AN19" s="1836"/>
      <c r="AO19" s="1849" t="str">
        <f>IF(M19="","",(M19))</f>
        <v/>
      </c>
      <c r="AP19" s="1850"/>
      <c r="AQ19" s="1849" t="str">
        <f>IF(M19="","",(O19))</f>
        <v/>
      </c>
      <c r="AR19" s="1852"/>
      <c r="AS19" s="1850"/>
      <c r="AT19" s="139" t="str">
        <f t="shared" si="3"/>
        <v/>
      </c>
      <c r="AU19" s="271"/>
      <c r="AX19" s="270"/>
    </row>
    <row r="20" spans="1:50" s="202" customFormat="1" ht="15.95" customHeight="1" thickTop="1" thickBot="1">
      <c r="A20" s="1915" t="s">
        <v>2891</v>
      </c>
      <c r="B20" s="1916"/>
      <c r="C20" s="132">
        <v>9</v>
      </c>
      <c r="D20" s="1862" t="s">
        <v>2246</v>
      </c>
      <c r="E20" s="1863"/>
      <c r="F20" s="1863"/>
      <c r="G20" s="1863"/>
      <c r="H20" s="1863"/>
      <c r="I20" s="1863"/>
      <c r="J20" s="1863"/>
      <c r="K20" s="1863"/>
      <c r="L20" s="1864"/>
      <c r="M20" s="1859"/>
      <c r="N20" s="1860"/>
      <c r="O20" s="1859"/>
      <c r="P20" s="1861"/>
      <c r="Q20" s="1860"/>
      <c r="R20" s="1087"/>
      <c r="T20" s="1897"/>
      <c r="U20" s="1898"/>
      <c r="W20" s="637" t="s">
        <v>654</v>
      </c>
      <c r="X20" s="637" t="s">
        <v>655</v>
      </c>
      <c r="Y20" s="637" t="s">
        <v>656</v>
      </c>
      <c r="Z20" s="637" t="s">
        <v>657</v>
      </c>
      <c r="AB20" s="270"/>
      <c r="AE20" s="132">
        <v>9</v>
      </c>
      <c r="AF20" s="1851" t="str">
        <f t="shared" si="4"/>
        <v/>
      </c>
      <c r="AG20" s="1835"/>
      <c r="AH20" s="1835"/>
      <c r="AI20" s="1835"/>
      <c r="AJ20" s="1835"/>
      <c r="AK20" s="1835"/>
      <c r="AL20" s="1835"/>
      <c r="AM20" s="1835"/>
      <c r="AN20" s="1836"/>
      <c r="AO20" s="1849" t="str">
        <f>IF(M20="","",(M20))</f>
        <v/>
      </c>
      <c r="AP20" s="1850"/>
      <c r="AQ20" s="1849" t="str">
        <f>IF(M20="","",(O20))</f>
        <v/>
      </c>
      <c r="AR20" s="1852"/>
      <c r="AS20" s="1850"/>
      <c r="AT20" s="139" t="str">
        <f t="shared" si="3"/>
        <v/>
      </c>
      <c r="AU20" s="271"/>
      <c r="AX20" s="270"/>
    </row>
    <row r="21" spans="1:50" s="1018" customFormat="1" ht="15.95" customHeight="1" thickTop="1" thickBot="1">
      <c r="A21" s="1917"/>
      <c r="B21" s="1918"/>
      <c r="C21" s="132">
        <v>10</v>
      </c>
      <c r="D21" s="1862" t="s">
        <v>2247</v>
      </c>
      <c r="E21" s="1863"/>
      <c r="F21" s="1863"/>
      <c r="G21" s="1863"/>
      <c r="H21" s="1863"/>
      <c r="I21" s="1863"/>
      <c r="J21" s="1863"/>
      <c r="K21" s="1863"/>
      <c r="L21" s="1864"/>
      <c r="M21" s="1859"/>
      <c r="N21" s="1860"/>
      <c r="O21" s="1859"/>
      <c r="P21" s="1861"/>
      <c r="Q21" s="1860"/>
      <c r="R21" s="1087"/>
      <c r="T21" s="674" t="s">
        <v>1646</v>
      </c>
      <c r="U21" s="675" t="s">
        <v>650</v>
      </c>
      <c r="V21" s="641"/>
      <c r="W21" s="637" t="s">
        <v>651</v>
      </c>
      <c r="X21" s="637" t="s">
        <v>652</v>
      </c>
      <c r="Y21" s="637" t="s">
        <v>653</v>
      </c>
      <c r="Z21" s="637" t="s">
        <v>658</v>
      </c>
      <c r="AB21" s="270"/>
      <c r="AE21" s="132">
        <v>10</v>
      </c>
      <c r="AF21" s="1888" t="str">
        <f t="shared" si="4"/>
        <v/>
      </c>
      <c r="AG21" s="1889"/>
      <c r="AH21" s="1889"/>
      <c r="AI21" s="1889"/>
      <c r="AJ21" s="1889"/>
      <c r="AK21" s="1889"/>
      <c r="AL21" s="1889"/>
      <c r="AM21" s="1889"/>
      <c r="AN21" s="1890"/>
      <c r="AO21" s="1849" t="str">
        <f>IF(M21="","",(M21))</f>
        <v/>
      </c>
      <c r="AP21" s="1850"/>
      <c r="AQ21" s="1849" t="str">
        <f>IF(M21="","",(O21))</f>
        <v/>
      </c>
      <c r="AR21" s="1852"/>
      <c r="AS21" s="1850"/>
      <c r="AT21" s="139" t="str">
        <f>IF(R21="","",R21)</f>
        <v/>
      </c>
      <c r="AU21" s="1026"/>
      <c r="AX21" s="270"/>
    </row>
    <row r="22" spans="1:50" s="1018" customFormat="1" ht="15.95" customHeight="1" thickTop="1" thickBot="1">
      <c r="A22" s="1917"/>
      <c r="B22" s="1918"/>
      <c r="C22" s="132">
        <v>11</v>
      </c>
      <c r="D22" s="1862" t="s">
        <v>2248</v>
      </c>
      <c r="E22" s="1863"/>
      <c r="F22" s="1863"/>
      <c r="G22" s="1863"/>
      <c r="H22" s="1863"/>
      <c r="I22" s="1863"/>
      <c r="J22" s="1863"/>
      <c r="K22" s="1863"/>
      <c r="L22" s="1864"/>
      <c r="M22" s="1859"/>
      <c r="N22" s="1860"/>
      <c r="O22" s="1859"/>
      <c r="P22" s="1861"/>
      <c r="Q22" s="1860"/>
      <c r="R22" s="1087"/>
      <c r="T22" s="664" t="s">
        <v>1645</v>
      </c>
      <c r="U22" s="671">
        <f>MAX(Z22,0)</f>
        <v>0</v>
      </c>
      <c r="V22" s="641"/>
      <c r="W22" s="273">
        <f>+'FORM 1040-3'!J39</f>
        <v>0</v>
      </c>
      <c r="X22" s="273">
        <f>+'FORM 1040-3'!F39</f>
        <v>0</v>
      </c>
      <c r="Y22" s="273">
        <f>+W22-X22</f>
        <v>0</v>
      </c>
      <c r="Z22" s="273">
        <f>(+X22*0.2)-Y22</f>
        <v>0</v>
      </c>
      <c r="AB22" s="270"/>
      <c r="AE22" s="132">
        <v>11</v>
      </c>
      <c r="AF22" s="1888" t="str">
        <f t="shared" si="4"/>
        <v/>
      </c>
      <c r="AG22" s="1889"/>
      <c r="AH22" s="1889"/>
      <c r="AI22" s="1889"/>
      <c r="AJ22" s="1889"/>
      <c r="AK22" s="1889"/>
      <c r="AL22" s="1889"/>
      <c r="AM22" s="1889"/>
      <c r="AN22" s="1890"/>
      <c r="AO22" s="1849" t="str">
        <f>IF(M22="","",(M22))</f>
        <v/>
      </c>
      <c r="AP22" s="1850"/>
      <c r="AQ22" s="1849" t="str">
        <f>IF(M22="","",(O22))</f>
        <v/>
      </c>
      <c r="AR22" s="1852"/>
      <c r="AS22" s="1850"/>
      <c r="AT22" s="139" t="str">
        <f>IF(R22="","",R22)</f>
        <v/>
      </c>
      <c r="AU22" s="1026"/>
      <c r="AX22" s="270"/>
    </row>
    <row r="23" spans="1:50" s="202" customFormat="1" ht="15.95" customHeight="1" thickTop="1" thickBot="1">
      <c r="A23" s="1917"/>
      <c r="B23" s="1918"/>
      <c r="C23" s="132">
        <v>12</v>
      </c>
      <c r="D23" s="1865" t="s">
        <v>639</v>
      </c>
      <c r="E23" s="1866"/>
      <c r="F23" s="1866"/>
      <c r="G23" s="1866"/>
      <c r="H23" s="1866"/>
      <c r="I23" s="1866"/>
      <c r="J23" s="1866"/>
      <c r="K23" s="1866"/>
      <c r="L23" s="1867"/>
      <c r="M23" s="1859"/>
      <c r="N23" s="1860"/>
      <c r="O23" s="1859"/>
      <c r="P23" s="1861"/>
      <c r="Q23" s="1860"/>
      <c r="R23" s="1087"/>
      <c r="T23" s="664" t="s">
        <v>359</v>
      </c>
      <c r="U23" s="671">
        <f>MAX(Z23,0)</f>
        <v>0</v>
      </c>
      <c r="V23" s="641"/>
      <c r="W23" s="273">
        <f>+'FORM 1040-3'!K39</f>
        <v>0</v>
      </c>
      <c r="X23" s="273">
        <f>+'FORM 1040-3'!H39</f>
        <v>0</v>
      </c>
      <c r="Y23" s="273">
        <f>+W23-X23</f>
        <v>0</v>
      </c>
      <c r="Z23" s="273">
        <f>(+X23*0.2)-Y23</f>
        <v>0</v>
      </c>
      <c r="AB23" s="270"/>
      <c r="AE23" s="132">
        <v>12</v>
      </c>
      <c r="AF23" s="1777" t="s">
        <v>639</v>
      </c>
      <c r="AG23" s="1778"/>
      <c r="AH23" s="1778"/>
      <c r="AI23" s="1778"/>
      <c r="AJ23" s="1778"/>
      <c r="AK23" s="1778"/>
      <c r="AL23" s="1778"/>
      <c r="AM23" s="1778"/>
      <c r="AN23" s="1779"/>
      <c r="AO23" s="1822"/>
      <c r="AP23" s="1823"/>
      <c r="AQ23" s="1822"/>
      <c r="AR23" s="1856"/>
      <c r="AS23" s="1823"/>
      <c r="AT23" s="139" t="str">
        <f t="shared" ref="AT23:AT28" si="5">IF(R23="","",(R23))</f>
        <v/>
      </c>
      <c r="AU23" s="271"/>
      <c r="AX23" s="270"/>
    </row>
    <row r="24" spans="1:50" s="202" customFormat="1" ht="15.95" customHeight="1" thickTop="1" thickBot="1">
      <c r="A24" s="1917"/>
      <c r="B24" s="1918"/>
      <c r="C24" s="132">
        <v>13</v>
      </c>
      <c r="D24" s="1865" t="s">
        <v>1898</v>
      </c>
      <c r="E24" s="1866"/>
      <c r="F24" s="1866"/>
      <c r="G24" s="1866"/>
      <c r="H24" s="1866"/>
      <c r="I24" s="1866"/>
      <c r="J24" s="1866"/>
      <c r="K24" s="1866"/>
      <c r="L24" s="1867"/>
      <c r="M24" s="1859"/>
      <c r="N24" s="1860"/>
      <c r="O24" s="1859"/>
      <c r="P24" s="1861"/>
      <c r="Q24" s="1860"/>
      <c r="R24" s="1087"/>
      <c r="S24" s="802"/>
      <c r="T24" s="665" t="s">
        <v>1644</v>
      </c>
      <c r="U24" s="676">
        <f>+U22+U23</f>
        <v>0</v>
      </c>
      <c r="V24" s="644"/>
      <c r="W24" s="644"/>
      <c r="X24" s="644"/>
      <c r="Y24" s="644"/>
      <c r="Z24" s="644"/>
      <c r="AB24" s="270"/>
      <c r="AC24" s="802"/>
      <c r="AD24" s="802"/>
      <c r="AE24" s="132">
        <v>13</v>
      </c>
      <c r="AF24" s="1777" t="s">
        <v>1898</v>
      </c>
      <c r="AG24" s="1778"/>
      <c r="AH24" s="1778"/>
      <c r="AI24" s="1778"/>
      <c r="AJ24" s="1778"/>
      <c r="AK24" s="1778"/>
      <c r="AL24" s="1778"/>
      <c r="AM24" s="1778"/>
      <c r="AN24" s="1779"/>
      <c r="AO24" s="806"/>
      <c r="AP24" s="807"/>
      <c r="AQ24" s="806"/>
      <c r="AR24" s="809"/>
      <c r="AS24" s="807"/>
      <c r="AT24" s="257" t="str">
        <f t="shared" si="5"/>
        <v/>
      </c>
      <c r="AU24" s="813"/>
      <c r="AV24" s="802"/>
      <c r="AW24" s="802"/>
      <c r="AX24" s="270"/>
    </row>
    <row r="25" spans="1:50" s="802" customFormat="1" ht="15.95" customHeight="1" thickTop="1" thickBot="1">
      <c r="A25" s="1919"/>
      <c r="B25" s="1920"/>
      <c r="C25" s="132">
        <v>14</v>
      </c>
      <c r="D25" s="1865" t="s">
        <v>637</v>
      </c>
      <c r="E25" s="1820"/>
      <c r="F25" s="1820"/>
      <c r="G25" s="1820"/>
      <c r="H25" s="1820"/>
      <c r="I25" s="1820"/>
      <c r="J25" s="1820"/>
      <c r="K25" s="1820"/>
      <c r="L25" s="1821"/>
      <c r="M25" s="1859"/>
      <c r="N25" s="1860"/>
      <c r="O25" s="1859"/>
      <c r="P25" s="1861"/>
      <c r="Q25" s="1860"/>
      <c r="R25" s="1087"/>
      <c r="S25" s="202"/>
      <c r="T25" s="805"/>
      <c r="U25" s="828"/>
      <c r="V25" s="810"/>
      <c r="W25" s="810"/>
      <c r="X25" s="810"/>
      <c r="Y25" s="810"/>
      <c r="Z25" s="810"/>
      <c r="AB25" s="270"/>
      <c r="AC25" s="202"/>
      <c r="AD25" s="202"/>
      <c r="AE25" s="132">
        <v>14</v>
      </c>
      <c r="AF25" s="1777" t="s">
        <v>637</v>
      </c>
      <c r="AG25" s="1857"/>
      <c r="AH25" s="1857"/>
      <c r="AI25" s="1857"/>
      <c r="AJ25" s="1857"/>
      <c r="AK25" s="1857"/>
      <c r="AL25" s="1857"/>
      <c r="AM25" s="1857"/>
      <c r="AN25" s="1858"/>
      <c r="AO25" s="1822"/>
      <c r="AP25" s="1823"/>
      <c r="AQ25" s="1822"/>
      <c r="AR25" s="1856"/>
      <c r="AS25" s="1823"/>
      <c r="AT25" s="139" t="str">
        <f t="shared" si="5"/>
        <v/>
      </c>
      <c r="AU25" s="271"/>
      <c r="AV25" s="12"/>
      <c r="AW25" s="202"/>
      <c r="AX25" s="270"/>
    </row>
    <row r="26" spans="1:50" s="202" customFormat="1" ht="15.95" customHeight="1" thickTop="1" thickBot="1">
      <c r="A26" s="1913"/>
      <c r="B26" s="1914"/>
      <c r="C26" s="132">
        <v>15</v>
      </c>
      <c r="D26" s="1865" t="s">
        <v>638</v>
      </c>
      <c r="E26" s="1820"/>
      <c r="F26" s="1820"/>
      <c r="G26" s="1820"/>
      <c r="H26" s="1820"/>
      <c r="I26" s="1820"/>
      <c r="J26" s="1820"/>
      <c r="K26" s="1820"/>
      <c r="L26" s="1821"/>
      <c r="M26" s="1859"/>
      <c r="N26" s="1860"/>
      <c r="O26" s="1859"/>
      <c r="P26" s="1861"/>
      <c r="Q26" s="1860"/>
      <c r="R26" s="1087"/>
      <c r="AB26" s="270"/>
      <c r="AE26" s="132">
        <v>15</v>
      </c>
      <c r="AF26" s="1777" t="s">
        <v>638</v>
      </c>
      <c r="AG26" s="1857"/>
      <c r="AH26" s="1857"/>
      <c r="AI26" s="1857"/>
      <c r="AJ26" s="1857"/>
      <c r="AK26" s="1857"/>
      <c r="AL26" s="1857"/>
      <c r="AM26" s="1857"/>
      <c r="AN26" s="1858"/>
      <c r="AO26" s="1822"/>
      <c r="AP26" s="1823"/>
      <c r="AQ26" s="1822"/>
      <c r="AR26" s="1856"/>
      <c r="AS26" s="1823"/>
      <c r="AT26" s="139" t="str">
        <f t="shared" si="5"/>
        <v/>
      </c>
      <c r="AU26" s="271"/>
      <c r="AV26" s="274"/>
      <c r="AX26" s="270"/>
    </row>
    <row r="27" spans="1:50" s="202" customFormat="1" ht="15.95" customHeight="1" thickTop="1" thickBot="1">
      <c r="C27" s="132">
        <v>16</v>
      </c>
      <c r="D27" s="1865" t="s">
        <v>2238</v>
      </c>
      <c r="E27" s="1820"/>
      <c r="F27" s="1820"/>
      <c r="G27" s="1820"/>
      <c r="H27" s="1820"/>
      <c r="I27" s="1820"/>
      <c r="J27" s="1820"/>
      <c r="K27" s="1820"/>
      <c r="L27" s="1821"/>
      <c r="M27" s="1859"/>
      <c r="N27" s="1860"/>
      <c r="O27" s="1859"/>
      <c r="P27" s="1861"/>
      <c r="Q27" s="1860"/>
      <c r="R27" s="1087"/>
      <c r="T27" s="1899" t="s">
        <v>2434</v>
      </c>
      <c r="U27" s="1902">
        <f>+R29-R59</f>
        <v>0</v>
      </c>
      <c r="AB27" s="270"/>
      <c r="AE27" s="132">
        <v>16</v>
      </c>
      <c r="AF27" s="1819" t="s">
        <v>2238</v>
      </c>
      <c r="AG27" s="1820"/>
      <c r="AH27" s="1820"/>
      <c r="AI27" s="1820"/>
      <c r="AJ27" s="1820"/>
      <c r="AK27" s="1820"/>
      <c r="AL27" s="1820"/>
      <c r="AM27" s="1820"/>
      <c r="AN27" s="1821"/>
      <c r="AO27" s="1822"/>
      <c r="AP27" s="1823"/>
      <c r="AQ27" s="1822"/>
      <c r="AR27" s="1856"/>
      <c r="AS27" s="1823"/>
      <c r="AT27" s="139" t="str">
        <f t="shared" si="5"/>
        <v/>
      </c>
      <c r="AU27" s="271"/>
      <c r="AV27" s="274"/>
      <c r="AX27" s="270"/>
    </row>
    <row r="28" spans="1:50" s="202" customFormat="1" ht="15.95" customHeight="1" thickTop="1" thickBot="1">
      <c r="C28" s="132">
        <v>17</v>
      </c>
      <c r="D28" s="1865" t="s">
        <v>643</v>
      </c>
      <c r="E28" s="1820"/>
      <c r="F28" s="1820"/>
      <c r="G28" s="1820"/>
      <c r="H28" s="1820"/>
      <c r="I28" s="1820"/>
      <c r="J28" s="1820"/>
      <c r="K28" s="1820"/>
      <c r="L28" s="1821"/>
      <c r="M28" s="1859"/>
      <c r="N28" s="1860"/>
      <c r="O28" s="1859"/>
      <c r="P28" s="1861"/>
      <c r="Q28" s="1860"/>
      <c r="R28" s="275">
        <f>+'FORM 1040-7'!I34</f>
        <v>0</v>
      </c>
      <c r="T28" s="1900"/>
      <c r="U28" s="1903"/>
      <c r="AB28" s="270"/>
      <c r="AE28" s="132">
        <v>17</v>
      </c>
      <c r="AF28" s="1777" t="s">
        <v>643</v>
      </c>
      <c r="AG28" s="1857"/>
      <c r="AH28" s="1857"/>
      <c r="AI28" s="1857"/>
      <c r="AJ28" s="1857"/>
      <c r="AK28" s="1857"/>
      <c r="AL28" s="1857"/>
      <c r="AM28" s="1857"/>
      <c r="AN28" s="1858"/>
      <c r="AO28" s="1822"/>
      <c r="AP28" s="1823"/>
      <c r="AQ28" s="1822"/>
      <c r="AR28" s="1856"/>
      <c r="AS28" s="1823"/>
      <c r="AT28" s="139">
        <f t="shared" si="5"/>
        <v>0</v>
      </c>
      <c r="AU28" s="271"/>
      <c r="AV28" s="274"/>
      <c r="AX28" s="270"/>
    </row>
    <row r="29" spans="1:50" s="202" customFormat="1" ht="15.95" customHeight="1" thickTop="1" thickBot="1">
      <c r="D29" s="276"/>
      <c r="E29" s="277"/>
      <c r="F29" s="277"/>
      <c r="G29" s="277"/>
      <c r="H29" s="277"/>
      <c r="I29" s="277"/>
      <c r="J29" s="277"/>
      <c r="K29" s="277"/>
      <c r="L29" s="277"/>
      <c r="M29" s="278"/>
      <c r="N29" s="279"/>
      <c r="O29" s="1871" t="s">
        <v>640</v>
      </c>
      <c r="P29" s="1872"/>
      <c r="Q29" s="1873"/>
      <c r="R29" s="280">
        <f>SUM(R12:R28)</f>
        <v>0</v>
      </c>
      <c r="T29" s="1901"/>
      <c r="U29" s="1904"/>
      <c r="AB29" s="270"/>
      <c r="AF29" s="276"/>
      <c r="AG29" s="277"/>
      <c r="AH29" s="277"/>
      <c r="AI29" s="277"/>
      <c r="AJ29" s="277"/>
      <c r="AK29" s="277"/>
      <c r="AL29" s="277"/>
      <c r="AM29" s="277"/>
      <c r="AN29" s="277"/>
      <c r="AO29" s="278"/>
      <c r="AP29" s="279"/>
      <c r="AQ29" s="1837" t="s">
        <v>640</v>
      </c>
      <c r="AR29" s="1838"/>
      <c r="AS29" s="1839"/>
      <c r="AT29" s="281"/>
      <c r="AU29" s="271"/>
      <c r="AV29" s="274"/>
      <c r="AX29" s="270"/>
    </row>
    <row r="30" spans="1:50" s="202" customFormat="1" ht="6" customHeight="1" thickTop="1" thickBot="1">
      <c r="T30" s="643"/>
      <c r="U30" s="670"/>
      <c r="V30" s="644"/>
      <c r="W30" s="113"/>
      <c r="X30" s="113"/>
      <c r="Y30" s="113"/>
      <c r="Z30" s="113"/>
      <c r="AB30" s="270"/>
      <c r="AU30" s="271"/>
      <c r="AX30" s="270"/>
    </row>
    <row r="31" spans="1:50" s="21" customFormat="1" ht="15" customHeight="1" thickTop="1" thickBot="1">
      <c r="D31" s="1280"/>
      <c r="E31" s="1281"/>
      <c r="F31" s="1281"/>
      <c r="G31" s="1281"/>
      <c r="H31" s="1281"/>
      <c r="I31" s="1282"/>
      <c r="J31" s="1613" t="s">
        <v>156</v>
      </c>
      <c r="K31" s="1614"/>
      <c r="L31" s="1615"/>
      <c r="M31" s="1280" t="s">
        <v>641</v>
      </c>
      <c r="N31" s="1280" t="s">
        <v>2460</v>
      </c>
      <c r="O31" s="1613" t="s">
        <v>90</v>
      </c>
      <c r="P31" s="1614"/>
      <c r="Q31" s="1615"/>
      <c r="R31" s="1284" t="s">
        <v>151</v>
      </c>
      <c r="U31" s="113"/>
      <c r="V31" s="641"/>
      <c r="W31" s="113"/>
      <c r="X31" s="113"/>
      <c r="Y31" s="113"/>
      <c r="Z31" s="113"/>
      <c r="AB31" s="282"/>
      <c r="AF31" s="1280"/>
      <c r="AG31" s="1281"/>
      <c r="AH31" s="1281"/>
      <c r="AI31" s="1281"/>
      <c r="AJ31" s="1281"/>
      <c r="AK31" s="1282"/>
      <c r="AL31" s="1613" t="s">
        <v>156</v>
      </c>
      <c r="AM31" s="1614"/>
      <c r="AN31" s="1615"/>
      <c r="AO31" s="1280" t="s">
        <v>158</v>
      </c>
      <c r="AP31" s="1280" t="s">
        <v>159</v>
      </c>
      <c r="AQ31" s="1613" t="s">
        <v>90</v>
      </c>
      <c r="AR31" s="1614"/>
      <c r="AS31" s="1615"/>
      <c r="AT31" s="1284" t="s">
        <v>151</v>
      </c>
      <c r="AU31" s="283"/>
      <c r="AV31" s="274"/>
      <c r="AX31" s="282"/>
    </row>
    <row r="32" spans="1:50" s="21" customFormat="1" ht="15" customHeight="1" thickTop="1" thickBot="1">
      <c r="D32" s="1629" t="s">
        <v>155</v>
      </c>
      <c r="E32" s="1634"/>
      <c r="F32" s="1634"/>
      <c r="G32" s="1634"/>
      <c r="H32" s="1634"/>
      <c r="I32" s="1630"/>
      <c r="J32" s="1629" t="s">
        <v>157</v>
      </c>
      <c r="K32" s="1634"/>
      <c r="L32" s="1634"/>
      <c r="M32" s="1283" t="s">
        <v>2425</v>
      </c>
      <c r="N32" s="1283" t="s">
        <v>2425</v>
      </c>
      <c r="O32" s="1629" t="s">
        <v>2113</v>
      </c>
      <c r="P32" s="1634"/>
      <c r="Q32" s="1630"/>
      <c r="R32" s="1285" t="s">
        <v>152</v>
      </c>
      <c r="T32" s="1905" t="s">
        <v>2115</v>
      </c>
      <c r="U32" s="1906"/>
      <c r="V32" s="641"/>
      <c r="W32" s="113"/>
      <c r="X32" s="113"/>
      <c r="Y32" s="113"/>
      <c r="Z32" s="113"/>
      <c r="AB32" s="282"/>
      <c r="AF32" s="1629" t="s">
        <v>155</v>
      </c>
      <c r="AG32" s="1634"/>
      <c r="AH32" s="1634"/>
      <c r="AI32" s="1634"/>
      <c r="AJ32" s="1634"/>
      <c r="AK32" s="1630"/>
      <c r="AL32" s="1629" t="s">
        <v>157</v>
      </c>
      <c r="AM32" s="1634"/>
      <c r="AN32" s="1634"/>
      <c r="AO32" s="1283" t="s">
        <v>1006</v>
      </c>
      <c r="AP32" s="1283" t="s">
        <v>1006</v>
      </c>
      <c r="AQ32" s="1629" t="s">
        <v>646</v>
      </c>
      <c r="AR32" s="1634"/>
      <c r="AS32" s="1630"/>
      <c r="AT32" s="1285" t="s">
        <v>152</v>
      </c>
      <c r="AU32" s="283"/>
      <c r="AX32" s="282"/>
    </row>
    <row r="33" spans="1:50" s="21" customFormat="1" ht="15.95" customHeight="1" thickTop="1" thickBot="1">
      <c r="C33" s="132">
        <v>1</v>
      </c>
      <c r="D33" s="1874"/>
      <c r="E33" s="1875"/>
      <c r="F33" s="1875"/>
      <c r="G33" s="1875"/>
      <c r="H33" s="1875"/>
      <c r="I33" s="1876"/>
      <c r="J33" s="1877"/>
      <c r="K33" s="1878"/>
      <c r="L33" s="1879"/>
      <c r="M33" s="53"/>
      <c r="N33" s="53"/>
      <c r="O33" s="1657"/>
      <c r="P33" s="1651"/>
      <c r="Q33" s="1658"/>
      <c r="R33" s="272"/>
      <c r="T33" s="1073" t="s">
        <v>142</v>
      </c>
      <c r="U33" s="1286" t="str">
        <f t="shared" ref="U33:U40" si="6">IF(ISERROR(-PMT(J33/12,M33*12,R12)*12),"n/a",-PMT(J33/12,M33*12,R12)*12)</f>
        <v>n/a</v>
      </c>
      <c r="W33" s="1276"/>
      <c r="AB33" s="282"/>
      <c r="AE33" s="132">
        <v>1</v>
      </c>
      <c r="AF33" s="1834" t="str">
        <f>IF(D33="","",(D33))</f>
        <v/>
      </c>
      <c r="AG33" s="1891"/>
      <c r="AH33" s="1891"/>
      <c r="AI33" s="1891"/>
      <c r="AJ33" s="1891"/>
      <c r="AK33" s="1892"/>
      <c r="AL33" s="1831" t="str">
        <f>IF(J33="","",(J33))</f>
        <v/>
      </c>
      <c r="AM33" s="1832"/>
      <c r="AN33" s="1833"/>
      <c r="AO33" s="59" t="str">
        <f>IF(M33="","",(M33))</f>
        <v/>
      </c>
      <c r="AP33" s="59" t="str">
        <f>IF(N33="","",(N33))</f>
        <v/>
      </c>
      <c r="AQ33" s="1784" t="str">
        <f>IF(O33="","",(O33))</f>
        <v/>
      </c>
      <c r="AR33" s="1844"/>
      <c r="AS33" s="1845"/>
      <c r="AT33" s="139" t="str">
        <f>IF(R33="","",(R33))</f>
        <v/>
      </c>
      <c r="AU33" s="283"/>
      <c r="AV33" s="285">
        <f t="shared" ref="AV33:AV38" si="7">IF(AQ33="Grant",AT12,0)</f>
        <v>0</v>
      </c>
      <c r="AX33" s="282"/>
    </row>
    <row r="34" spans="1:50" s="21" customFormat="1" ht="15.95" customHeight="1" thickTop="1" thickBot="1">
      <c r="C34" s="132">
        <v>2</v>
      </c>
      <c r="D34" s="1874"/>
      <c r="E34" s="1669"/>
      <c r="F34" s="1669"/>
      <c r="G34" s="1669"/>
      <c r="H34" s="1669"/>
      <c r="I34" s="1670"/>
      <c r="J34" s="1877"/>
      <c r="K34" s="1878"/>
      <c r="L34" s="1879"/>
      <c r="M34" s="1013"/>
      <c r="N34" s="53"/>
      <c r="O34" s="1657"/>
      <c r="P34" s="1651"/>
      <c r="Q34" s="1658"/>
      <c r="R34" s="272"/>
      <c r="T34" s="1073" t="s">
        <v>145</v>
      </c>
      <c r="U34" s="1287" t="str">
        <f t="shared" si="6"/>
        <v>n/a</v>
      </c>
      <c r="AB34" s="282"/>
      <c r="AE34" s="132">
        <v>2</v>
      </c>
      <c r="AF34" s="1834" t="str">
        <f t="shared" ref="AF34:AF38" si="8">IF(D34="","",(D34))</f>
        <v/>
      </c>
      <c r="AG34" s="1835"/>
      <c r="AH34" s="1835"/>
      <c r="AI34" s="1835"/>
      <c r="AJ34" s="1835"/>
      <c r="AK34" s="1836"/>
      <c r="AL34" s="1831" t="str">
        <f t="shared" ref="AL34:AL38" si="9">IF(J34="","",(J34))</f>
        <v/>
      </c>
      <c r="AM34" s="1832"/>
      <c r="AN34" s="1833"/>
      <c r="AO34" s="59" t="str">
        <f t="shared" ref="AO34:AO38" si="10">IF(M34="","",(M34))</f>
        <v/>
      </c>
      <c r="AP34" s="59" t="str">
        <f t="shared" ref="AP34:AP38" si="11">IF(N34="","",(N34))</f>
        <v/>
      </c>
      <c r="AQ34" s="1784" t="str">
        <f t="shared" ref="AQ34:AQ41" si="12">IF(O34="","",(O34))</f>
        <v/>
      </c>
      <c r="AR34" s="1844"/>
      <c r="AS34" s="1845"/>
      <c r="AT34" s="139" t="str">
        <f t="shared" ref="AT34:AT38" si="13">IF(R34="","",(R34))</f>
        <v/>
      </c>
      <c r="AU34" s="283"/>
      <c r="AV34" s="285">
        <f t="shared" si="7"/>
        <v>0</v>
      </c>
      <c r="AX34" s="282"/>
    </row>
    <row r="35" spans="1:50" s="21" customFormat="1" ht="15.95" customHeight="1" thickTop="1" thickBot="1">
      <c r="C35" s="132">
        <v>3</v>
      </c>
      <c r="D35" s="1874"/>
      <c r="E35" s="1669"/>
      <c r="F35" s="1669"/>
      <c r="G35" s="1669"/>
      <c r="H35" s="1669"/>
      <c r="I35" s="1670"/>
      <c r="J35" s="1877"/>
      <c r="K35" s="1878"/>
      <c r="L35" s="1879"/>
      <c r="M35" s="1013"/>
      <c r="N35" s="53"/>
      <c r="O35" s="1657"/>
      <c r="P35" s="1651"/>
      <c r="Q35" s="1658"/>
      <c r="R35" s="272"/>
      <c r="T35" s="1073" t="s">
        <v>1588</v>
      </c>
      <c r="U35" s="1287" t="str">
        <f t="shared" si="6"/>
        <v>n/a</v>
      </c>
      <c r="AB35" s="282"/>
      <c r="AE35" s="132">
        <v>3</v>
      </c>
      <c r="AF35" s="1834" t="str">
        <f t="shared" si="8"/>
        <v/>
      </c>
      <c r="AG35" s="1835"/>
      <c r="AH35" s="1835"/>
      <c r="AI35" s="1835"/>
      <c r="AJ35" s="1835"/>
      <c r="AK35" s="1836"/>
      <c r="AL35" s="1831" t="str">
        <f t="shared" si="9"/>
        <v/>
      </c>
      <c r="AM35" s="1832"/>
      <c r="AN35" s="1833"/>
      <c r="AO35" s="59" t="str">
        <f t="shared" si="10"/>
        <v/>
      </c>
      <c r="AP35" s="59" t="str">
        <f t="shared" si="11"/>
        <v/>
      </c>
      <c r="AQ35" s="1784" t="str">
        <f t="shared" si="12"/>
        <v/>
      </c>
      <c r="AR35" s="1844"/>
      <c r="AS35" s="1845"/>
      <c r="AT35" s="139" t="str">
        <f t="shared" si="13"/>
        <v/>
      </c>
      <c r="AU35" s="283"/>
      <c r="AV35" s="285">
        <f t="shared" si="7"/>
        <v>0</v>
      </c>
      <c r="AX35" s="282"/>
    </row>
    <row r="36" spans="1:50" s="21" customFormat="1" ht="15.95" customHeight="1" thickTop="1" thickBot="1">
      <c r="C36" s="132">
        <v>4</v>
      </c>
      <c r="D36" s="1874"/>
      <c r="E36" s="1669"/>
      <c r="F36" s="1669"/>
      <c r="G36" s="1669"/>
      <c r="H36" s="1669"/>
      <c r="I36" s="1670"/>
      <c r="J36" s="1877"/>
      <c r="K36" s="1878"/>
      <c r="L36" s="1879"/>
      <c r="M36" s="1013"/>
      <c r="N36" s="53"/>
      <c r="O36" s="1657"/>
      <c r="P36" s="1651"/>
      <c r="Q36" s="1658"/>
      <c r="R36" s="272"/>
      <c r="T36" s="1073" t="s">
        <v>1589</v>
      </c>
      <c r="U36" s="1287" t="str">
        <f t="shared" si="6"/>
        <v>n/a</v>
      </c>
      <c r="AB36" s="282"/>
      <c r="AE36" s="132">
        <v>4</v>
      </c>
      <c r="AF36" s="1834" t="str">
        <f t="shared" si="8"/>
        <v/>
      </c>
      <c r="AG36" s="1835"/>
      <c r="AH36" s="1835"/>
      <c r="AI36" s="1835"/>
      <c r="AJ36" s="1835"/>
      <c r="AK36" s="1836"/>
      <c r="AL36" s="1831" t="str">
        <f t="shared" si="9"/>
        <v/>
      </c>
      <c r="AM36" s="1832"/>
      <c r="AN36" s="1833"/>
      <c r="AO36" s="59" t="str">
        <f t="shared" si="10"/>
        <v/>
      </c>
      <c r="AP36" s="59" t="str">
        <f t="shared" si="11"/>
        <v/>
      </c>
      <c r="AQ36" s="1784" t="str">
        <f t="shared" si="12"/>
        <v/>
      </c>
      <c r="AR36" s="1844"/>
      <c r="AS36" s="1845"/>
      <c r="AT36" s="139" t="str">
        <f t="shared" si="13"/>
        <v/>
      </c>
      <c r="AU36" s="283"/>
      <c r="AV36" s="285">
        <f t="shared" si="7"/>
        <v>0</v>
      </c>
      <c r="AX36" s="282"/>
    </row>
    <row r="37" spans="1:50" s="21" customFormat="1" ht="15.95" customHeight="1" thickTop="1" thickBot="1">
      <c r="C37" s="132">
        <v>5</v>
      </c>
      <c r="D37" s="1874"/>
      <c r="E37" s="1669"/>
      <c r="F37" s="1669"/>
      <c r="G37" s="1669"/>
      <c r="H37" s="1669"/>
      <c r="I37" s="1670"/>
      <c r="J37" s="1877"/>
      <c r="K37" s="1878"/>
      <c r="L37" s="1879"/>
      <c r="M37" s="1013"/>
      <c r="N37" s="53"/>
      <c r="O37" s="1657"/>
      <c r="P37" s="1651"/>
      <c r="Q37" s="1658"/>
      <c r="R37" s="272"/>
      <c r="T37" s="1073" t="s">
        <v>1590</v>
      </c>
      <c r="U37" s="1287" t="str">
        <f t="shared" si="6"/>
        <v>n/a</v>
      </c>
      <c r="AB37" s="282"/>
      <c r="AE37" s="132">
        <v>5</v>
      </c>
      <c r="AF37" s="1834" t="str">
        <f t="shared" si="8"/>
        <v/>
      </c>
      <c r="AG37" s="1835"/>
      <c r="AH37" s="1835"/>
      <c r="AI37" s="1835"/>
      <c r="AJ37" s="1835"/>
      <c r="AK37" s="1836"/>
      <c r="AL37" s="1831" t="str">
        <f t="shared" si="9"/>
        <v/>
      </c>
      <c r="AM37" s="1832"/>
      <c r="AN37" s="1833"/>
      <c r="AO37" s="59" t="str">
        <f t="shared" si="10"/>
        <v/>
      </c>
      <c r="AP37" s="59" t="str">
        <f t="shared" si="11"/>
        <v/>
      </c>
      <c r="AQ37" s="1784" t="str">
        <f t="shared" si="12"/>
        <v/>
      </c>
      <c r="AR37" s="1844"/>
      <c r="AS37" s="1845"/>
      <c r="AT37" s="139" t="str">
        <f t="shared" si="13"/>
        <v/>
      </c>
      <c r="AU37" s="283"/>
      <c r="AV37" s="285">
        <f t="shared" si="7"/>
        <v>0</v>
      </c>
      <c r="AX37" s="282"/>
    </row>
    <row r="38" spans="1:50" s="21" customFormat="1" ht="15.95" customHeight="1" thickTop="1" thickBot="1">
      <c r="C38" s="132">
        <v>6</v>
      </c>
      <c r="D38" s="1874"/>
      <c r="E38" s="1669"/>
      <c r="F38" s="1669"/>
      <c r="G38" s="1669"/>
      <c r="H38" s="1669"/>
      <c r="I38" s="1670"/>
      <c r="J38" s="1877"/>
      <c r="K38" s="1878"/>
      <c r="L38" s="1879"/>
      <c r="M38" s="1506"/>
      <c r="N38" s="53"/>
      <c r="O38" s="1657"/>
      <c r="P38" s="1651"/>
      <c r="Q38" s="1658"/>
      <c r="R38" s="1507"/>
      <c r="T38" s="1073" t="s">
        <v>1591</v>
      </c>
      <c r="U38" s="1287" t="str">
        <f t="shared" si="6"/>
        <v>n/a</v>
      </c>
      <c r="AB38" s="282"/>
      <c r="AE38" s="132">
        <v>6</v>
      </c>
      <c r="AF38" s="1834" t="str">
        <f t="shared" si="8"/>
        <v/>
      </c>
      <c r="AG38" s="1835"/>
      <c r="AH38" s="1835"/>
      <c r="AI38" s="1835"/>
      <c r="AJ38" s="1835"/>
      <c r="AK38" s="1836"/>
      <c r="AL38" s="1831" t="str">
        <f t="shared" si="9"/>
        <v/>
      </c>
      <c r="AM38" s="1832"/>
      <c r="AN38" s="1833"/>
      <c r="AO38" s="59" t="str">
        <f t="shared" si="10"/>
        <v/>
      </c>
      <c r="AP38" s="59" t="str">
        <f t="shared" si="11"/>
        <v/>
      </c>
      <c r="AQ38" s="1784" t="str">
        <f t="shared" si="12"/>
        <v/>
      </c>
      <c r="AR38" s="1844"/>
      <c r="AS38" s="1845"/>
      <c r="AT38" s="139" t="str">
        <f t="shared" si="13"/>
        <v/>
      </c>
      <c r="AU38" s="283"/>
      <c r="AV38" s="285">
        <f t="shared" si="7"/>
        <v>0</v>
      </c>
      <c r="AX38" s="282"/>
    </row>
    <row r="39" spans="1:50" s="21" customFormat="1" ht="15.95" customHeight="1" thickTop="1" thickBot="1">
      <c r="C39" s="132">
        <v>7</v>
      </c>
      <c r="D39" s="1907" t="s">
        <v>2325</v>
      </c>
      <c r="E39" s="1908"/>
      <c r="F39" s="1908"/>
      <c r="G39" s="1908"/>
      <c r="H39" s="1908"/>
      <c r="I39" s="1909"/>
      <c r="J39" s="1877"/>
      <c r="K39" s="1878"/>
      <c r="L39" s="1879"/>
      <c r="M39" s="1013"/>
      <c r="N39" s="53"/>
      <c r="O39" s="1780" t="str">
        <f>IF(R18="","",("Permanent"))</f>
        <v/>
      </c>
      <c r="P39" s="1843"/>
      <c r="Q39" s="1781"/>
      <c r="R39" s="272"/>
      <c r="T39" s="1073" t="s">
        <v>1592</v>
      </c>
      <c r="U39" s="1287" t="str">
        <f t="shared" si="6"/>
        <v>n/a</v>
      </c>
      <c r="AB39" s="282"/>
      <c r="AE39" s="132">
        <v>7</v>
      </c>
      <c r="AF39" s="1834" t="str">
        <f>IF(R18="","",(D39))</f>
        <v/>
      </c>
      <c r="AG39" s="1835"/>
      <c r="AH39" s="1835"/>
      <c r="AI39" s="1835"/>
      <c r="AJ39" s="1835"/>
      <c r="AK39" s="1836"/>
      <c r="AL39" s="1831" t="str">
        <f>IF(R18="","",(J39))</f>
        <v/>
      </c>
      <c r="AM39" s="1832"/>
      <c r="AN39" s="1833"/>
      <c r="AO39" s="59" t="str">
        <f>IF(R18="","",(M39))</f>
        <v/>
      </c>
      <c r="AP39" s="59" t="str">
        <f>IF(R18="","",(N39))</f>
        <v/>
      </c>
      <c r="AQ39" s="1784" t="str">
        <f t="shared" si="12"/>
        <v/>
      </c>
      <c r="AR39" s="1844"/>
      <c r="AS39" s="1845"/>
      <c r="AT39" s="139" t="str">
        <f>IF(R18="","",(R39))</f>
        <v/>
      </c>
      <c r="AU39" s="283"/>
      <c r="AV39" s="285"/>
      <c r="AX39" s="282"/>
    </row>
    <row r="40" spans="1:50" s="21" customFormat="1" ht="15.95" customHeight="1" thickTop="1" thickBot="1">
      <c r="C40" s="132">
        <v>8</v>
      </c>
      <c r="D40" s="1910" t="s">
        <v>2324</v>
      </c>
      <c r="E40" s="1911"/>
      <c r="F40" s="1911"/>
      <c r="G40" s="1911"/>
      <c r="H40" s="1911"/>
      <c r="I40" s="1912"/>
      <c r="J40" s="1877"/>
      <c r="K40" s="1878"/>
      <c r="L40" s="1879"/>
      <c r="M40" s="1013"/>
      <c r="N40" s="53"/>
      <c r="O40" s="1780" t="str">
        <f>IF(R19="","",("Permanent"))</f>
        <v/>
      </c>
      <c r="P40" s="1843"/>
      <c r="Q40" s="1781"/>
      <c r="R40" s="272"/>
      <c r="T40" s="1073" t="s">
        <v>2116</v>
      </c>
      <c r="U40" s="1287" t="str">
        <f t="shared" si="6"/>
        <v>n/a</v>
      </c>
      <c r="AB40" s="282"/>
      <c r="AE40" s="132">
        <v>8</v>
      </c>
      <c r="AF40" s="1834" t="str">
        <f>IF(R19="","",(D40))</f>
        <v/>
      </c>
      <c r="AG40" s="1835"/>
      <c r="AH40" s="1835"/>
      <c r="AI40" s="1835"/>
      <c r="AJ40" s="1835"/>
      <c r="AK40" s="1836"/>
      <c r="AL40" s="1831" t="str">
        <f>IF(R19="","",(J40))</f>
        <v/>
      </c>
      <c r="AM40" s="1832"/>
      <c r="AN40" s="1833"/>
      <c r="AO40" s="59" t="str">
        <f>IF(R19="","",(M40))</f>
        <v/>
      </c>
      <c r="AP40" s="59" t="str">
        <f>IF(R19="","",(N40))</f>
        <v/>
      </c>
      <c r="AQ40" s="1784" t="str">
        <f t="shared" si="12"/>
        <v/>
      </c>
      <c r="AR40" s="1844"/>
      <c r="AS40" s="1845"/>
      <c r="AT40" s="139" t="str">
        <f>IF(R19="","",(R40))</f>
        <v/>
      </c>
      <c r="AU40" s="283"/>
      <c r="AV40" s="285"/>
      <c r="AX40" s="282"/>
    </row>
    <row r="41" spans="1:50" s="21" customFormat="1" ht="15.95" customHeight="1" thickTop="1" thickBot="1">
      <c r="C41" s="132">
        <v>9</v>
      </c>
      <c r="D41" s="1910" t="s">
        <v>2324</v>
      </c>
      <c r="E41" s="1911"/>
      <c r="F41" s="1911"/>
      <c r="G41" s="1911"/>
      <c r="H41" s="1911"/>
      <c r="I41" s="1912"/>
      <c r="J41" s="1877"/>
      <c r="K41" s="1878"/>
      <c r="L41" s="1879"/>
      <c r="M41" s="1020">
        <v>0</v>
      </c>
      <c r="N41" s="53"/>
      <c r="O41" s="1780" t="str">
        <f>IF(R20="","",("Permanent"))</f>
        <v/>
      </c>
      <c r="P41" s="1843"/>
      <c r="Q41" s="1781"/>
      <c r="R41" s="1071"/>
      <c r="T41" s="1073" t="s">
        <v>2117</v>
      </c>
      <c r="U41" s="1072" t="s">
        <v>2129</v>
      </c>
      <c r="AB41" s="282"/>
      <c r="AE41" s="132">
        <v>9</v>
      </c>
      <c r="AF41" s="1834" t="str">
        <f>IF(R20="","",(D41))</f>
        <v/>
      </c>
      <c r="AG41" s="1835"/>
      <c r="AH41" s="1835"/>
      <c r="AI41" s="1835"/>
      <c r="AJ41" s="1835"/>
      <c r="AK41" s="1836"/>
      <c r="AL41" s="1831" t="str">
        <f>IF(R20="","",(J41))</f>
        <v/>
      </c>
      <c r="AM41" s="1832"/>
      <c r="AN41" s="1833"/>
      <c r="AO41" s="59" t="str">
        <f>IF(R20="","",(M41))</f>
        <v/>
      </c>
      <c r="AP41" s="59" t="str">
        <f>IF(R20="","",(N41))</f>
        <v/>
      </c>
      <c r="AQ41" s="1784" t="str">
        <f t="shared" si="12"/>
        <v/>
      </c>
      <c r="AR41" s="1844"/>
      <c r="AS41" s="1845"/>
      <c r="AT41" s="139" t="str">
        <f>IF(R20="","",(R41))</f>
        <v/>
      </c>
      <c r="AU41" s="283"/>
      <c r="AV41" s="285"/>
      <c r="AX41" s="282"/>
    </row>
    <row r="42" spans="1:50" s="1023" customFormat="1" ht="15.95" customHeight="1" thickTop="1" thickBot="1">
      <c r="C42" s="132">
        <v>10</v>
      </c>
      <c r="D42" s="1910" t="s">
        <v>2324</v>
      </c>
      <c r="E42" s="1911"/>
      <c r="F42" s="1911"/>
      <c r="G42" s="1911"/>
      <c r="H42" s="1911"/>
      <c r="I42" s="1912"/>
      <c r="J42" s="1877"/>
      <c r="K42" s="1878"/>
      <c r="L42" s="1879"/>
      <c r="M42" s="1013"/>
      <c r="N42" s="1013"/>
      <c r="O42" s="1780" t="str">
        <f>IF(R21="","",("Permanent"))</f>
        <v/>
      </c>
      <c r="P42" s="1843"/>
      <c r="Q42" s="1781"/>
      <c r="R42" s="1021"/>
      <c r="T42" s="1073" t="s">
        <v>2130</v>
      </c>
      <c r="U42" s="1287" t="str">
        <f>IF(ISERROR(-PMT(J42/12,M42*12,R21)*12),"n/a",-PMT(J42/12,M42*12,R21)*12)</f>
        <v>n/a</v>
      </c>
      <c r="AB42" s="282"/>
      <c r="AE42" s="132">
        <v>10</v>
      </c>
      <c r="AF42" s="1834" t="str">
        <f>IF(R21="","",(D42))</f>
        <v/>
      </c>
      <c r="AG42" s="1891"/>
      <c r="AH42" s="1891"/>
      <c r="AI42" s="1891"/>
      <c r="AJ42" s="1891"/>
      <c r="AK42" s="1892"/>
      <c r="AL42" s="1831" t="str">
        <f>IF(R21="","",(J42))</f>
        <v/>
      </c>
      <c r="AM42" s="1832"/>
      <c r="AN42" s="1833"/>
      <c r="AO42" s="59" t="str">
        <f>IF(R21="","",(M42))</f>
        <v/>
      </c>
      <c r="AP42" s="59" t="str">
        <f>IF(R21="","",(N42))</f>
        <v/>
      </c>
      <c r="AQ42" s="1784" t="str">
        <f t="shared" ref="AQ42:AQ43" si="14">IF(O42="","",(O42))</f>
        <v/>
      </c>
      <c r="AR42" s="1844"/>
      <c r="AS42" s="1845"/>
      <c r="AT42" s="139" t="str">
        <f>IF(R21="","",(R42))</f>
        <v/>
      </c>
      <c r="AU42" s="1022"/>
      <c r="AV42" s="285"/>
      <c r="AX42" s="282"/>
    </row>
    <row r="43" spans="1:50" s="1023" customFormat="1" ht="15.95" customHeight="1" thickTop="1" thickBot="1">
      <c r="C43" s="132">
        <v>11</v>
      </c>
      <c r="D43" s="1910" t="s">
        <v>2324</v>
      </c>
      <c r="E43" s="1911"/>
      <c r="F43" s="1911"/>
      <c r="G43" s="1911"/>
      <c r="H43" s="1911"/>
      <c r="I43" s="1912"/>
      <c r="J43" s="1877"/>
      <c r="K43" s="1878"/>
      <c r="L43" s="1879"/>
      <c r="M43" s="1020">
        <v>0</v>
      </c>
      <c r="N43" s="1013"/>
      <c r="O43" s="1780" t="str">
        <f>IF(R22="","",("Permanent"))</f>
        <v/>
      </c>
      <c r="P43" s="1843"/>
      <c r="Q43" s="1781"/>
      <c r="R43" s="1071"/>
      <c r="T43" s="1289" t="s">
        <v>2422</v>
      </c>
      <c r="U43" s="1290" t="s">
        <v>2129</v>
      </c>
      <c r="AB43" s="282"/>
      <c r="AE43" s="132">
        <v>11</v>
      </c>
      <c r="AF43" s="1834" t="str">
        <f>IF(R22="","",(D43))</f>
        <v/>
      </c>
      <c r="AG43" s="1891"/>
      <c r="AH43" s="1891"/>
      <c r="AI43" s="1891"/>
      <c r="AJ43" s="1891"/>
      <c r="AK43" s="1892"/>
      <c r="AL43" s="1831" t="str">
        <f>IF(R22="","",(J43))</f>
        <v/>
      </c>
      <c r="AM43" s="1832"/>
      <c r="AN43" s="1833"/>
      <c r="AO43" s="59" t="str">
        <f>IF(R22="","",(M43))</f>
        <v/>
      </c>
      <c r="AP43" s="59" t="str">
        <f>IF(R22="","",(N43))</f>
        <v/>
      </c>
      <c r="AQ43" s="1784" t="str">
        <f t="shared" si="14"/>
        <v/>
      </c>
      <c r="AR43" s="1844"/>
      <c r="AS43" s="1845"/>
      <c r="AT43" s="139" t="str">
        <f>IF(R22="","",(R43))</f>
        <v/>
      </c>
      <c r="AU43" s="1022"/>
      <c r="AV43" s="285"/>
      <c r="AX43" s="282"/>
    </row>
    <row r="44" spans="1:50" s="21" customFormat="1" ht="15.95" customHeight="1" thickTop="1" thickBot="1">
      <c r="C44" s="132">
        <v>12</v>
      </c>
      <c r="D44" s="1874"/>
      <c r="E44" s="1669"/>
      <c r="F44" s="1669"/>
      <c r="G44" s="1669"/>
      <c r="H44" s="1669"/>
      <c r="I44" s="1670"/>
      <c r="J44" s="1877"/>
      <c r="K44" s="1878"/>
      <c r="L44" s="1879"/>
      <c r="M44" s="1392">
        <v>0</v>
      </c>
      <c r="N44" s="53"/>
      <c r="O44" s="1780" t="s">
        <v>644</v>
      </c>
      <c r="P44" s="1843"/>
      <c r="Q44" s="1781"/>
      <c r="R44" s="1071"/>
      <c r="AB44" s="282"/>
      <c r="AE44" s="132">
        <v>12</v>
      </c>
      <c r="AF44" s="1824"/>
      <c r="AG44" s="1624"/>
      <c r="AH44" s="1624"/>
      <c r="AI44" s="1624"/>
      <c r="AJ44" s="1624"/>
      <c r="AK44" s="1625"/>
      <c r="AL44" s="1825"/>
      <c r="AM44" s="1826"/>
      <c r="AN44" s="1827"/>
      <c r="AO44" s="287"/>
      <c r="AP44" s="287"/>
      <c r="AQ44" s="1846"/>
      <c r="AR44" s="1847"/>
      <c r="AS44" s="1848"/>
      <c r="AT44" s="286" t="s">
        <v>153</v>
      </c>
      <c r="AU44" s="283"/>
      <c r="AX44" s="282"/>
    </row>
    <row r="45" spans="1:50" s="21" customFormat="1" ht="15.95" customHeight="1" thickTop="1" thickBot="1">
      <c r="A45" s="810"/>
      <c r="B45" s="810"/>
      <c r="C45" s="132">
        <v>13</v>
      </c>
      <c r="D45" s="1874"/>
      <c r="E45" s="1669"/>
      <c r="F45" s="1669"/>
      <c r="G45" s="1669"/>
      <c r="H45" s="1669"/>
      <c r="I45" s="1670"/>
      <c r="J45" s="1828"/>
      <c r="K45" s="1829"/>
      <c r="L45" s="1830"/>
      <c r="M45" s="1020"/>
      <c r="N45" s="1020"/>
      <c r="O45" s="1780" t="s">
        <v>291</v>
      </c>
      <c r="P45" s="1843"/>
      <c r="Q45" s="1781"/>
      <c r="R45" s="1071"/>
      <c r="S45" s="810"/>
      <c r="AB45" s="282"/>
      <c r="AC45" s="810"/>
      <c r="AD45" s="810"/>
      <c r="AE45" s="132">
        <v>13</v>
      </c>
      <c r="AF45" s="808"/>
      <c r="AG45" s="799"/>
      <c r="AH45" s="799"/>
      <c r="AI45" s="799"/>
      <c r="AJ45" s="799"/>
      <c r="AK45" s="800"/>
      <c r="AL45" s="1828"/>
      <c r="AM45" s="1829"/>
      <c r="AN45" s="1830"/>
      <c r="AO45" s="1020"/>
      <c r="AP45" s="1020"/>
      <c r="AQ45" s="1846" t="str">
        <f>IF(O45="","",O45)</f>
        <v>Grant</v>
      </c>
      <c r="AR45" s="1847"/>
      <c r="AS45" s="1848"/>
      <c r="AT45" s="286" t="s">
        <v>153</v>
      </c>
      <c r="AU45" s="811"/>
      <c r="AV45" s="285" t="str">
        <f>IF(AQ45="Grant",AT24,0)</f>
        <v/>
      </c>
      <c r="AW45" s="810"/>
      <c r="AX45" s="282"/>
    </row>
    <row r="46" spans="1:50" s="21" customFormat="1" ht="15.95" customHeight="1" thickTop="1" thickBot="1">
      <c r="C46" s="132">
        <v>14</v>
      </c>
      <c r="D46" s="1874"/>
      <c r="E46" s="1669"/>
      <c r="F46" s="1669"/>
      <c r="G46" s="1669"/>
      <c r="H46" s="1669"/>
      <c r="I46" s="1670"/>
      <c r="J46" s="1828"/>
      <c r="K46" s="1829"/>
      <c r="L46" s="1830"/>
      <c r="M46" s="1020"/>
      <c r="N46" s="1020"/>
      <c r="O46" s="1780" t="s">
        <v>647</v>
      </c>
      <c r="P46" s="1843"/>
      <c r="Q46" s="1781"/>
      <c r="R46" s="1071"/>
      <c r="T46" s="810"/>
      <c r="U46" s="810"/>
      <c r="V46" s="810"/>
      <c r="W46" s="810"/>
      <c r="X46" s="810"/>
      <c r="Y46" s="810"/>
      <c r="Z46" s="810"/>
      <c r="AA46" s="810"/>
      <c r="AB46" s="282"/>
      <c r="AE46" s="132">
        <v>14</v>
      </c>
      <c r="AF46" s="1824"/>
      <c r="AG46" s="1624"/>
      <c r="AH46" s="1624"/>
      <c r="AI46" s="1624"/>
      <c r="AJ46" s="1624"/>
      <c r="AK46" s="1625"/>
      <c r="AL46" s="1828"/>
      <c r="AM46" s="1829"/>
      <c r="AN46" s="1830"/>
      <c r="AO46" s="1020"/>
      <c r="AP46" s="1020"/>
      <c r="AQ46" s="1840"/>
      <c r="AR46" s="1841"/>
      <c r="AS46" s="1842"/>
      <c r="AT46" s="286" t="s">
        <v>153</v>
      </c>
      <c r="AU46" s="283"/>
      <c r="AX46" s="282"/>
    </row>
    <row r="47" spans="1:50" s="810" customFormat="1" ht="15.95" customHeight="1" thickTop="1" thickBot="1">
      <c r="A47" s="21"/>
      <c r="B47" s="21"/>
      <c r="C47" s="132">
        <v>15</v>
      </c>
      <c r="D47" s="1874"/>
      <c r="E47" s="1669"/>
      <c r="F47" s="1669"/>
      <c r="G47" s="1669"/>
      <c r="H47" s="1669"/>
      <c r="I47" s="1670"/>
      <c r="J47" s="1828"/>
      <c r="K47" s="1829"/>
      <c r="L47" s="1830"/>
      <c r="M47" s="1020"/>
      <c r="N47" s="1020"/>
      <c r="O47" s="1780" t="s">
        <v>647</v>
      </c>
      <c r="P47" s="1843"/>
      <c r="Q47" s="1781"/>
      <c r="R47" s="1071"/>
      <c r="S47" s="21"/>
      <c r="T47" s="21"/>
      <c r="U47" s="21"/>
      <c r="V47" s="21"/>
      <c r="W47" s="21"/>
      <c r="X47" s="21"/>
      <c r="Y47" s="21"/>
      <c r="Z47" s="21"/>
      <c r="AA47" s="21"/>
      <c r="AB47" s="282"/>
      <c r="AC47" s="21"/>
      <c r="AD47" s="21"/>
      <c r="AE47" s="132">
        <v>15</v>
      </c>
      <c r="AF47" s="1824"/>
      <c r="AG47" s="1624"/>
      <c r="AH47" s="1624"/>
      <c r="AI47" s="1624"/>
      <c r="AJ47" s="1624"/>
      <c r="AK47" s="1625"/>
      <c r="AL47" s="1828"/>
      <c r="AM47" s="1829"/>
      <c r="AN47" s="1830"/>
      <c r="AO47" s="1020"/>
      <c r="AP47" s="1020"/>
      <c r="AQ47" s="1840"/>
      <c r="AR47" s="1841"/>
      <c r="AS47" s="1842"/>
      <c r="AT47" s="286" t="s">
        <v>153</v>
      </c>
      <c r="AU47" s="283"/>
      <c r="AV47" s="21"/>
      <c r="AW47" s="21"/>
      <c r="AX47" s="282"/>
    </row>
    <row r="48" spans="1:50" s="21" customFormat="1" ht="15.95" customHeight="1" thickTop="1" thickBot="1">
      <c r="C48" s="132">
        <v>16</v>
      </c>
      <c r="D48" s="1874"/>
      <c r="E48" s="1669"/>
      <c r="F48" s="1669"/>
      <c r="G48" s="1669"/>
      <c r="H48" s="1669"/>
      <c r="I48" s="1670"/>
      <c r="J48" s="1828"/>
      <c r="K48" s="1829"/>
      <c r="L48" s="1830"/>
      <c r="M48" s="1020"/>
      <c r="N48" s="1020"/>
      <c r="O48" s="1780" t="s">
        <v>647</v>
      </c>
      <c r="P48" s="1843"/>
      <c r="Q48" s="1781"/>
      <c r="R48" s="1071"/>
      <c r="AB48" s="282"/>
      <c r="AE48" s="132">
        <v>16</v>
      </c>
      <c r="AF48" s="1824"/>
      <c r="AG48" s="1624"/>
      <c r="AH48" s="1624"/>
      <c r="AI48" s="1624"/>
      <c r="AJ48" s="1624"/>
      <c r="AK48" s="1625"/>
      <c r="AL48" s="1828"/>
      <c r="AM48" s="1829"/>
      <c r="AN48" s="1830"/>
      <c r="AO48" s="1020"/>
      <c r="AP48" s="1020"/>
      <c r="AQ48" s="1840"/>
      <c r="AR48" s="1841"/>
      <c r="AS48" s="1842"/>
      <c r="AT48" s="286" t="s">
        <v>153</v>
      </c>
      <c r="AU48" s="283"/>
      <c r="AV48" s="113"/>
      <c r="AX48" s="282"/>
    </row>
    <row r="49" spans="1:50" s="21" customFormat="1" ht="15.95" customHeight="1" thickTop="1" thickBot="1">
      <c r="C49" s="132">
        <v>17</v>
      </c>
      <c r="D49" s="1884" t="str">
        <f>IF('FORM 1040-7'!I21="","",'FORM 1040-7'!I21)</f>
        <v/>
      </c>
      <c r="E49" s="1885"/>
      <c r="F49" s="1885"/>
      <c r="G49" s="1885"/>
      <c r="H49" s="1885"/>
      <c r="I49" s="1886"/>
      <c r="J49" s="1828"/>
      <c r="K49" s="1829"/>
      <c r="L49" s="1830"/>
      <c r="M49" s="1014"/>
      <c r="N49" s="1020"/>
      <c r="O49" s="1780" t="s">
        <v>647</v>
      </c>
      <c r="P49" s="1843"/>
      <c r="Q49" s="1781"/>
      <c r="R49" s="1071"/>
      <c r="AB49" s="282"/>
      <c r="AE49" s="132">
        <v>17</v>
      </c>
      <c r="AF49" s="1824"/>
      <c r="AG49" s="1624"/>
      <c r="AH49" s="1624"/>
      <c r="AI49" s="1624"/>
      <c r="AJ49" s="1624"/>
      <c r="AK49" s="1625"/>
      <c r="AL49" s="1828"/>
      <c r="AM49" s="1829"/>
      <c r="AN49" s="1830"/>
      <c r="AO49" s="1014"/>
      <c r="AP49" s="1020"/>
      <c r="AQ49" s="1840"/>
      <c r="AR49" s="1841"/>
      <c r="AS49" s="1842"/>
      <c r="AT49" s="286" t="s">
        <v>153</v>
      </c>
      <c r="AU49" s="283"/>
      <c r="AX49" s="282"/>
    </row>
    <row r="50" spans="1:50" s="21" customFormat="1" ht="16.5" customHeight="1" thickTop="1" thickBot="1">
      <c r="A50" s="202"/>
      <c r="B50" s="202"/>
      <c r="C50" s="202"/>
      <c r="D50" s="288"/>
      <c r="E50" s="276"/>
      <c r="F50" s="276"/>
      <c r="G50" s="276"/>
      <c r="H50" s="276"/>
      <c r="I50" s="276"/>
      <c r="J50" s="276"/>
      <c r="K50" s="276"/>
      <c r="L50" s="276"/>
      <c r="M50" s="289"/>
      <c r="N50" s="279"/>
      <c r="O50" s="1871" t="s">
        <v>154</v>
      </c>
      <c r="P50" s="1872"/>
      <c r="Q50" s="1873"/>
      <c r="R50" s="290">
        <f>SUM(R33:R49)</f>
        <v>0</v>
      </c>
      <c r="S50" s="202"/>
      <c r="AB50" s="282"/>
      <c r="AC50" s="202"/>
      <c r="AD50" s="202"/>
      <c r="AE50" s="202"/>
      <c r="AF50" s="288"/>
      <c r="AG50" s="276"/>
      <c r="AH50" s="276"/>
      <c r="AI50" s="276"/>
      <c r="AJ50" s="276"/>
      <c r="AK50" s="276"/>
      <c r="AL50" s="276"/>
      <c r="AM50" s="276"/>
      <c r="AN50" s="276"/>
      <c r="AO50" s="289"/>
      <c r="AP50" s="279"/>
      <c r="AQ50" s="1837" t="s">
        <v>154</v>
      </c>
      <c r="AR50" s="1838"/>
      <c r="AS50" s="1839"/>
      <c r="AT50" s="291"/>
      <c r="AU50" s="271"/>
      <c r="AV50" s="292">
        <f>SUM(AV33:AV49)</f>
        <v>0</v>
      </c>
      <c r="AW50" s="202" t="s">
        <v>950</v>
      </c>
      <c r="AX50" s="282"/>
    </row>
    <row r="51" spans="1:50" s="21" customFormat="1" ht="6" customHeight="1" thickTop="1">
      <c r="A51" s="202"/>
      <c r="B51" s="202"/>
      <c r="C51" s="202"/>
      <c r="D51" s="202"/>
      <c r="E51" s="202"/>
      <c r="F51" s="202"/>
      <c r="H51" s="202"/>
      <c r="I51" s="202"/>
      <c r="J51" s="202"/>
      <c r="K51" s="202"/>
      <c r="L51" s="202"/>
      <c r="M51" s="202"/>
      <c r="N51" s="202"/>
      <c r="O51" s="202"/>
      <c r="P51" s="202"/>
      <c r="Q51" s="202"/>
      <c r="R51" s="202"/>
      <c r="S51" s="202"/>
      <c r="T51" s="202"/>
      <c r="U51" s="202"/>
      <c r="V51" s="202"/>
      <c r="W51" s="202"/>
      <c r="X51" s="202"/>
      <c r="Y51" s="202"/>
      <c r="Z51" s="202"/>
      <c r="AA51" s="202"/>
      <c r="AB51" s="282"/>
      <c r="AC51" s="202"/>
      <c r="AD51" s="202"/>
      <c r="AE51" s="202"/>
      <c r="AF51" s="202"/>
      <c r="AG51" s="202"/>
      <c r="AH51" s="202"/>
      <c r="AJ51" s="202"/>
      <c r="AK51" s="202"/>
      <c r="AL51" s="202"/>
      <c r="AM51" s="202"/>
      <c r="AN51" s="202"/>
      <c r="AO51" s="202"/>
      <c r="AP51" s="202"/>
      <c r="AQ51" s="202"/>
      <c r="AR51" s="202"/>
      <c r="AS51" s="202"/>
      <c r="AT51" s="202"/>
      <c r="AU51" s="271"/>
      <c r="AV51" s="202"/>
      <c r="AW51" s="202"/>
      <c r="AX51" s="282"/>
    </row>
    <row r="52" spans="1:50" s="999" customFormat="1" ht="30" customHeight="1">
      <c r="A52" s="995"/>
      <c r="B52" s="995"/>
      <c r="C52" s="206" t="s">
        <v>101</v>
      </c>
      <c r="D52" s="1887" t="s">
        <v>2824</v>
      </c>
      <c r="E52" s="1887"/>
      <c r="F52" s="1887"/>
      <c r="G52" s="1887"/>
      <c r="H52" s="1887"/>
      <c r="I52" s="1887"/>
      <c r="J52" s="1887"/>
      <c r="K52" s="1887"/>
      <c r="L52" s="1887"/>
      <c r="M52" s="1887"/>
      <c r="N52" s="1887"/>
      <c r="O52" s="1887"/>
      <c r="P52" s="1887"/>
      <c r="Q52" s="1887"/>
      <c r="R52" s="1887"/>
      <c r="S52" s="995"/>
      <c r="T52" s="995"/>
      <c r="U52" s="995"/>
      <c r="V52" s="995"/>
      <c r="W52" s="995"/>
      <c r="X52" s="995"/>
      <c r="Y52" s="995"/>
      <c r="Z52" s="995"/>
      <c r="AA52" s="995"/>
      <c r="AB52" s="282"/>
      <c r="AC52" s="995"/>
      <c r="AD52" s="995"/>
      <c r="AE52" s="995"/>
      <c r="AF52" s="995"/>
      <c r="AG52" s="995"/>
      <c r="AH52" s="995"/>
      <c r="AJ52" s="995"/>
      <c r="AK52" s="995"/>
      <c r="AL52" s="995"/>
      <c r="AM52" s="995"/>
      <c r="AN52" s="995"/>
      <c r="AO52" s="995"/>
      <c r="AP52" s="995"/>
      <c r="AQ52" s="995"/>
      <c r="AR52" s="995"/>
      <c r="AS52" s="995"/>
      <c r="AT52" s="995"/>
      <c r="AU52" s="1004"/>
      <c r="AV52" s="995"/>
      <c r="AW52" s="995"/>
      <c r="AX52" s="282"/>
    </row>
    <row r="53" spans="1:50" s="202" customFormat="1" ht="51.95" customHeight="1">
      <c r="C53" s="206" t="s">
        <v>102</v>
      </c>
      <c r="D53" s="1679" t="s">
        <v>2241</v>
      </c>
      <c r="E53" s="1855"/>
      <c r="F53" s="1855"/>
      <c r="G53" s="1855"/>
      <c r="H53" s="1855"/>
      <c r="I53" s="1855"/>
      <c r="J53" s="1855"/>
      <c r="K53" s="1855"/>
      <c r="L53" s="1855"/>
      <c r="M53" s="1855"/>
      <c r="N53" s="1855"/>
      <c r="O53" s="1855"/>
      <c r="P53" s="1855"/>
      <c r="Q53" s="1855"/>
      <c r="R53" s="1855"/>
      <c r="AB53" s="270"/>
      <c r="AE53" s="207" t="s">
        <v>101</v>
      </c>
      <c r="AF53" s="1679" t="s">
        <v>949</v>
      </c>
      <c r="AG53" s="1855"/>
      <c r="AH53" s="1855"/>
      <c r="AI53" s="1855"/>
      <c r="AJ53" s="1855"/>
      <c r="AK53" s="1855"/>
      <c r="AL53" s="1855"/>
      <c r="AM53" s="1855"/>
      <c r="AN53" s="1855"/>
      <c r="AO53" s="1855"/>
      <c r="AP53" s="1855"/>
      <c r="AQ53" s="1855"/>
      <c r="AR53" s="1855"/>
      <c r="AS53" s="1855"/>
      <c r="AT53" s="1855"/>
      <c r="AU53" s="271"/>
      <c r="AX53" s="270"/>
    </row>
    <row r="54" spans="1:50" s="202" customFormat="1" ht="6" customHeight="1">
      <c r="G54" s="21"/>
      <c r="AB54" s="270"/>
      <c r="AI54" s="21"/>
      <c r="AU54" s="271"/>
      <c r="AX54" s="270"/>
    </row>
    <row r="55" spans="1:50" s="202" customFormat="1" ht="15" customHeight="1">
      <c r="A55" s="4"/>
      <c r="B55" s="85" t="s">
        <v>55</v>
      </c>
      <c r="C55" s="1593" t="s">
        <v>2376</v>
      </c>
      <c r="D55" s="1593"/>
      <c r="E55" s="1593"/>
      <c r="F55" s="1593"/>
      <c r="G55" s="1593"/>
      <c r="H55" s="1593"/>
      <c r="I55" s="1593"/>
      <c r="J55" s="1593"/>
      <c r="K55" s="1593"/>
      <c r="L55" s="1593"/>
      <c r="M55" s="1593"/>
      <c r="N55" s="1593"/>
      <c r="O55" s="1593"/>
      <c r="P55" s="1593"/>
      <c r="Q55" s="1593"/>
      <c r="R55" s="1593"/>
      <c r="S55" s="4"/>
      <c r="AB55" s="270"/>
      <c r="AC55" s="4"/>
      <c r="AD55" s="1320" t="s">
        <v>55</v>
      </c>
      <c r="AE55" s="1593" t="s">
        <v>648</v>
      </c>
      <c r="AF55" s="1593"/>
      <c r="AG55" s="1593"/>
      <c r="AH55" s="1593"/>
      <c r="AI55" s="1593"/>
      <c r="AJ55" s="1593"/>
      <c r="AK55" s="1593"/>
      <c r="AL55" s="1593"/>
      <c r="AM55" s="1593"/>
      <c r="AN55" s="1593"/>
      <c r="AO55" s="1593"/>
      <c r="AP55" s="1593"/>
      <c r="AQ55" s="1593"/>
      <c r="AR55" s="1593"/>
      <c r="AS55" s="1593"/>
      <c r="AT55" s="1593"/>
      <c r="AU55" s="39"/>
      <c r="AV55" s="4"/>
      <c r="AW55" s="4"/>
      <c r="AX55" s="270"/>
    </row>
    <row r="56" spans="1:50" s="202" customFormat="1" ht="6" customHeight="1" thickBot="1">
      <c r="A56" s="4"/>
      <c r="B56" s="4"/>
      <c r="N56" s="4"/>
      <c r="O56" s="4"/>
      <c r="P56" s="4"/>
      <c r="Q56" s="4"/>
      <c r="R56" s="4"/>
      <c r="S56" s="4"/>
      <c r="T56" s="4"/>
      <c r="U56" s="4"/>
      <c r="V56" s="4"/>
      <c r="W56" s="4"/>
      <c r="X56" s="4"/>
      <c r="Y56" s="4"/>
      <c r="Z56" s="4"/>
      <c r="AA56" s="4"/>
      <c r="AB56" s="270"/>
      <c r="AC56" s="4"/>
      <c r="AD56" s="4"/>
      <c r="AP56" s="4"/>
      <c r="AQ56" s="4"/>
      <c r="AR56" s="4"/>
      <c r="AS56" s="4"/>
      <c r="AT56" s="4"/>
      <c r="AU56" s="39"/>
      <c r="AV56" s="4"/>
      <c r="AW56" s="4"/>
      <c r="AX56" s="270"/>
    </row>
    <row r="57" spans="1:50" ht="14.1" customHeight="1" thickTop="1" thickBot="1">
      <c r="C57" s="1613"/>
      <c r="D57" s="1614"/>
      <c r="E57" s="1614"/>
      <c r="F57" s="1780" t="s">
        <v>261</v>
      </c>
      <c r="G57" s="1843"/>
      <c r="H57" s="1843"/>
      <c r="I57" s="1843"/>
      <c r="J57" s="1843"/>
      <c r="K57" s="1843"/>
      <c r="L57" s="1843"/>
      <c r="M57" s="1843"/>
      <c r="N57" s="1781"/>
      <c r="O57" s="1613" t="s">
        <v>260</v>
      </c>
      <c r="P57" s="1614"/>
      <c r="Q57" s="1615"/>
      <c r="R57" s="46" t="s">
        <v>100</v>
      </c>
      <c r="AE57" s="1613"/>
      <c r="AF57" s="1614"/>
      <c r="AG57" s="1614"/>
      <c r="AH57" s="1780" t="s">
        <v>261</v>
      </c>
      <c r="AI57" s="1843"/>
      <c r="AJ57" s="1843"/>
      <c r="AK57" s="1843"/>
      <c r="AL57" s="1843"/>
      <c r="AM57" s="1843"/>
      <c r="AN57" s="1843"/>
      <c r="AO57" s="1843"/>
      <c r="AP57" s="1781"/>
      <c r="AQ57" s="1613" t="s">
        <v>260</v>
      </c>
      <c r="AR57" s="1614"/>
      <c r="AS57" s="1615"/>
      <c r="AT57" s="46" t="s">
        <v>262</v>
      </c>
    </row>
    <row r="58" spans="1:50" ht="14.1" customHeight="1" thickTop="1" thickBot="1">
      <c r="C58" s="1610" t="s">
        <v>98</v>
      </c>
      <c r="D58" s="1611"/>
      <c r="E58" s="1611"/>
      <c r="F58" s="1610" t="s">
        <v>163</v>
      </c>
      <c r="G58" s="1611"/>
      <c r="H58" s="1611"/>
      <c r="I58" s="1611"/>
      <c r="J58" s="1611"/>
      <c r="K58" s="1611"/>
      <c r="L58" s="1629" t="s">
        <v>164</v>
      </c>
      <c r="M58" s="1634"/>
      <c r="N58" s="1630"/>
      <c r="O58" s="1610" t="s">
        <v>2329</v>
      </c>
      <c r="P58" s="1611"/>
      <c r="Q58" s="1612"/>
      <c r="R58" s="51" t="s">
        <v>1605</v>
      </c>
      <c r="AE58" s="1610" t="s">
        <v>98</v>
      </c>
      <c r="AF58" s="1611"/>
      <c r="AG58" s="1611"/>
      <c r="AH58" s="1610" t="s">
        <v>163</v>
      </c>
      <c r="AI58" s="1611"/>
      <c r="AJ58" s="1611"/>
      <c r="AK58" s="1611"/>
      <c r="AL58" s="1611"/>
      <c r="AM58" s="1611"/>
      <c r="AN58" s="1629" t="s">
        <v>164</v>
      </c>
      <c r="AO58" s="1634"/>
      <c r="AP58" s="1630"/>
      <c r="AQ58" s="1610" t="s">
        <v>2329</v>
      </c>
      <c r="AR58" s="1611"/>
      <c r="AS58" s="1612"/>
      <c r="AT58" s="51" t="s">
        <v>121</v>
      </c>
    </row>
    <row r="59" spans="1:50" ht="15.95" customHeight="1" thickTop="1" thickBot="1">
      <c r="C59" s="1814" t="s">
        <v>636</v>
      </c>
      <c r="D59" s="1814"/>
      <c r="E59" s="1814"/>
      <c r="F59" s="1880">
        <f>(+'FORM 1040-3'!D42-'FORM 1040-3'!D19)*'FORM 1040-2'!F61</f>
        <v>0</v>
      </c>
      <c r="G59" s="1880"/>
      <c r="H59" s="1880"/>
      <c r="I59" s="1880"/>
      <c r="J59" s="1880"/>
      <c r="K59" s="1880"/>
      <c r="L59" s="1881">
        <f>+'FORM 1040-3'!D42-F59-O59</f>
        <v>0</v>
      </c>
      <c r="M59" s="1882"/>
      <c r="N59" s="1883"/>
      <c r="O59" s="1881">
        <f>+'FORM 1040-3'!D19</f>
        <v>0</v>
      </c>
      <c r="P59" s="1882"/>
      <c r="Q59" s="1883"/>
      <c r="R59" s="281">
        <f>SUM(F59:Q59)</f>
        <v>0</v>
      </c>
      <c r="AE59" s="1814" t="s">
        <v>636</v>
      </c>
      <c r="AF59" s="1814"/>
      <c r="AG59" s="1814"/>
      <c r="AH59" s="1815"/>
      <c r="AI59" s="1815"/>
      <c r="AJ59" s="1815"/>
      <c r="AK59" s="1815"/>
      <c r="AL59" s="1815"/>
      <c r="AM59" s="1815"/>
      <c r="AN59" s="1816"/>
      <c r="AO59" s="1817"/>
      <c r="AP59" s="1818"/>
      <c r="AQ59" s="1816"/>
      <c r="AR59" s="1817"/>
      <c r="AS59" s="1818"/>
      <c r="AT59" s="281"/>
    </row>
    <row r="60" spans="1:50" ht="6" customHeight="1" thickTop="1"/>
    <row r="61" spans="1:50" ht="15" customHeight="1">
      <c r="D61" s="4"/>
    </row>
    <row r="62" spans="1:50" s="1272" customFormat="1" ht="6" customHeight="1">
      <c r="AB62" s="6"/>
      <c r="AF62" s="1273"/>
      <c r="AU62" s="1278"/>
      <c r="AX62" s="6"/>
    </row>
    <row r="63" spans="1:50">
      <c r="D63" s="4"/>
    </row>
    <row r="64" spans="1:50" ht="15.95" customHeight="1">
      <c r="D64" s="4"/>
    </row>
  </sheetData>
  <sheetProtection algorithmName="SHA-512" hashValue="jVxb6OmRN6TxCEGK23MoD+krhjz73S92Johp23mgbBEjqam0kfa6IBuz5oh0AhubPffR4zDTzc9u8BPy4WBT/Q==" saltValue="Qk88/+hMzAh0Fbr+ed5NlA==" spinCount="100000" sheet="1" objects="1" scenarios="1"/>
  <mergeCells count="275">
    <mergeCell ref="A26:B26"/>
    <mergeCell ref="A20:B25"/>
    <mergeCell ref="A19:B19"/>
    <mergeCell ref="A13:B15"/>
    <mergeCell ref="C3:R3"/>
    <mergeCell ref="C58:E58"/>
    <mergeCell ref="F58:K58"/>
    <mergeCell ref="L58:N58"/>
    <mergeCell ref="C5:K5"/>
    <mergeCell ref="C6:K6"/>
    <mergeCell ref="L5:R5"/>
    <mergeCell ref="L6:R6"/>
    <mergeCell ref="O42:Q42"/>
    <mergeCell ref="J42:L42"/>
    <mergeCell ref="J43:L43"/>
    <mergeCell ref="D36:I36"/>
    <mergeCell ref="J36:L36"/>
    <mergeCell ref="O36:Q36"/>
    <mergeCell ref="D37:I37"/>
    <mergeCell ref="J37:L37"/>
    <mergeCell ref="O37:Q37"/>
    <mergeCell ref="D38:I38"/>
    <mergeCell ref="J38:L38"/>
    <mergeCell ref="O38:Q38"/>
    <mergeCell ref="T32:U32"/>
    <mergeCell ref="O21:Q21"/>
    <mergeCell ref="O22:Q22"/>
    <mergeCell ref="M21:N21"/>
    <mergeCell ref="M22:N22"/>
    <mergeCell ref="O58:Q58"/>
    <mergeCell ref="D39:I39"/>
    <mergeCell ref="J39:L39"/>
    <mergeCell ref="O39:Q39"/>
    <mergeCell ref="D40:I40"/>
    <mergeCell ref="J40:L40"/>
    <mergeCell ref="O40:Q40"/>
    <mergeCell ref="O45:Q45"/>
    <mergeCell ref="J45:L45"/>
    <mergeCell ref="D45:I45"/>
    <mergeCell ref="D41:I41"/>
    <mergeCell ref="J41:L41"/>
    <mergeCell ref="O41:Q41"/>
    <mergeCell ref="D44:I44"/>
    <mergeCell ref="J44:L44"/>
    <mergeCell ref="O44:Q44"/>
    <mergeCell ref="D42:I42"/>
    <mergeCell ref="D43:I43"/>
    <mergeCell ref="O43:Q43"/>
    <mergeCell ref="AL45:AN45"/>
    <mergeCell ref="AF42:AK42"/>
    <mergeCell ref="AF43:AK43"/>
    <mergeCell ref="AL42:AN42"/>
    <mergeCell ref="AL43:AN43"/>
    <mergeCell ref="AL31:AN31"/>
    <mergeCell ref="AQ31:AS31"/>
    <mergeCell ref="T18:U20"/>
    <mergeCell ref="AQ45:AS45"/>
    <mergeCell ref="AQ36:AS36"/>
    <mergeCell ref="T27:T29"/>
    <mergeCell ref="U27:U29"/>
    <mergeCell ref="AQ29:AS29"/>
    <mergeCell ref="AO28:AP28"/>
    <mergeCell ref="AF24:AN24"/>
    <mergeCell ref="AF32:AK32"/>
    <mergeCell ref="AF33:AK33"/>
    <mergeCell ref="AQ40:AS40"/>
    <mergeCell ref="AQ41:AS41"/>
    <mergeCell ref="AF40:AK40"/>
    <mergeCell ref="AF41:AK41"/>
    <mergeCell ref="AL40:AN40"/>
    <mergeCell ref="AF34:AK34"/>
    <mergeCell ref="AF35:AK35"/>
    <mergeCell ref="AQ32:AS32"/>
    <mergeCell ref="AQ33:AS33"/>
    <mergeCell ref="AQ34:AS34"/>
    <mergeCell ref="AQ35:AS35"/>
    <mergeCell ref="AL38:AN38"/>
    <mergeCell ref="AF21:AN21"/>
    <mergeCell ref="AF22:AN22"/>
    <mergeCell ref="AO21:AP21"/>
    <mergeCell ref="AO22:AP22"/>
    <mergeCell ref="AQ21:AS21"/>
    <mergeCell ref="AQ22:AS22"/>
    <mergeCell ref="AQ37:AS37"/>
    <mergeCell ref="AL37:AN37"/>
    <mergeCell ref="AL32:AN32"/>
    <mergeCell ref="AL33:AN33"/>
    <mergeCell ref="AL34:AN34"/>
    <mergeCell ref="AL35:AN35"/>
    <mergeCell ref="AL36:AN36"/>
    <mergeCell ref="C59:E59"/>
    <mergeCell ref="F59:K59"/>
    <mergeCell ref="L59:N59"/>
    <mergeCell ref="O59:Q59"/>
    <mergeCell ref="O46:Q46"/>
    <mergeCell ref="D47:I47"/>
    <mergeCell ref="J47:L47"/>
    <mergeCell ref="O47:Q47"/>
    <mergeCell ref="D48:I48"/>
    <mergeCell ref="J48:L48"/>
    <mergeCell ref="O48:Q48"/>
    <mergeCell ref="D46:I46"/>
    <mergeCell ref="J46:L46"/>
    <mergeCell ref="D49:I49"/>
    <mergeCell ref="J49:L49"/>
    <mergeCell ref="O49:Q49"/>
    <mergeCell ref="O50:Q50"/>
    <mergeCell ref="D53:R53"/>
    <mergeCell ref="C55:R55"/>
    <mergeCell ref="C57:E57"/>
    <mergeCell ref="F57:N57"/>
    <mergeCell ref="O57:Q57"/>
    <mergeCell ref="D52:R52"/>
    <mergeCell ref="D33:I33"/>
    <mergeCell ref="J33:L33"/>
    <mergeCell ref="O33:Q33"/>
    <mergeCell ref="D34:I34"/>
    <mergeCell ref="J34:L34"/>
    <mergeCell ref="O34:Q34"/>
    <mergeCell ref="D35:I35"/>
    <mergeCell ref="J35:L35"/>
    <mergeCell ref="O35:Q35"/>
    <mergeCell ref="D27:L27"/>
    <mergeCell ref="M27:N27"/>
    <mergeCell ref="O27:Q27"/>
    <mergeCell ref="D28:L28"/>
    <mergeCell ref="M28:N28"/>
    <mergeCell ref="O28:Q28"/>
    <mergeCell ref="O29:Q29"/>
    <mergeCell ref="D32:I32"/>
    <mergeCell ref="J32:L32"/>
    <mergeCell ref="O32:Q32"/>
    <mergeCell ref="O31:Q31"/>
    <mergeCell ref="J31:L31"/>
    <mergeCell ref="O23:Q23"/>
    <mergeCell ref="D22:L22"/>
    <mergeCell ref="D21:L21"/>
    <mergeCell ref="D25:L25"/>
    <mergeCell ref="M25:N25"/>
    <mergeCell ref="O25:Q25"/>
    <mergeCell ref="D26:L26"/>
    <mergeCell ref="M26:N26"/>
    <mergeCell ref="O26:Q26"/>
    <mergeCell ref="D24:L24"/>
    <mergeCell ref="M24:N24"/>
    <mergeCell ref="O24:Q24"/>
    <mergeCell ref="D11:L11"/>
    <mergeCell ref="M11:N11"/>
    <mergeCell ref="O11:Q11"/>
    <mergeCell ref="D12:L12"/>
    <mergeCell ref="M12:N12"/>
    <mergeCell ref="O12:Q12"/>
    <mergeCell ref="O17:Q17"/>
    <mergeCell ref="D18:L18"/>
    <mergeCell ref="M18:N18"/>
    <mergeCell ref="O18:Q18"/>
    <mergeCell ref="AQ39:AS39"/>
    <mergeCell ref="D13:L13"/>
    <mergeCell ref="M13:N13"/>
    <mergeCell ref="O13:Q13"/>
    <mergeCell ref="D14:L14"/>
    <mergeCell ref="M14:N14"/>
    <mergeCell ref="O14:Q14"/>
    <mergeCell ref="D15:L15"/>
    <mergeCell ref="M15:N15"/>
    <mergeCell ref="O15:Q15"/>
    <mergeCell ref="M20:N20"/>
    <mergeCell ref="O20:Q20"/>
    <mergeCell ref="D16:L16"/>
    <mergeCell ref="M16:N16"/>
    <mergeCell ref="O16:Q16"/>
    <mergeCell ref="D17:L17"/>
    <mergeCell ref="M17:N17"/>
    <mergeCell ref="AQ23:AS23"/>
    <mergeCell ref="D19:L19"/>
    <mergeCell ref="M19:N19"/>
    <mergeCell ref="O19:Q19"/>
    <mergeCell ref="D20:L20"/>
    <mergeCell ref="D23:L23"/>
    <mergeCell ref="M23:N23"/>
    <mergeCell ref="AQ42:AS42"/>
    <mergeCell ref="AQ43:AS43"/>
    <mergeCell ref="AL39:AN39"/>
    <mergeCell ref="AF53:AT53"/>
    <mergeCell ref="AQ15:AS15"/>
    <mergeCell ref="AQ16:AS16"/>
    <mergeCell ref="AQ17:AS17"/>
    <mergeCell ref="AQ18:AS18"/>
    <mergeCell ref="AQ25:AS25"/>
    <mergeCell ref="AQ26:AS26"/>
    <mergeCell ref="AQ28:AS28"/>
    <mergeCell ref="AQ27:AS27"/>
    <mergeCell ref="AF19:AN19"/>
    <mergeCell ref="AF20:AN20"/>
    <mergeCell ref="AO19:AP19"/>
    <mergeCell ref="AO20:AP20"/>
    <mergeCell ref="AQ19:AS19"/>
    <mergeCell ref="AQ20:AS20"/>
    <mergeCell ref="AO25:AP25"/>
    <mergeCell ref="AF26:AN26"/>
    <mergeCell ref="AO26:AP26"/>
    <mergeCell ref="AF28:AN28"/>
    <mergeCell ref="AF25:AN25"/>
    <mergeCell ref="AO16:AP16"/>
    <mergeCell ref="AE8:AT8"/>
    <mergeCell ref="AO18:AP18"/>
    <mergeCell ref="AF11:AN11"/>
    <mergeCell ref="AF10:AN10"/>
    <mergeCell ref="AF17:AN17"/>
    <mergeCell ref="AF18:AN18"/>
    <mergeCell ref="AF15:AN15"/>
    <mergeCell ref="AF16:AN16"/>
    <mergeCell ref="AF13:AN13"/>
    <mergeCell ref="AQ14:AS14"/>
    <mergeCell ref="AF14:AN14"/>
    <mergeCell ref="AO10:AP10"/>
    <mergeCell ref="AO13:AP13"/>
    <mergeCell ref="AO14:AP14"/>
    <mergeCell ref="AO15:AP15"/>
    <mergeCell ref="AQ13:AS13"/>
    <mergeCell ref="AQ10:AS10"/>
    <mergeCell ref="AO11:AP11"/>
    <mergeCell ref="AQ11:AS11"/>
    <mergeCell ref="AF12:AN12"/>
    <mergeCell ref="AO12:AP12"/>
    <mergeCell ref="AQ12:AS12"/>
    <mergeCell ref="AO17:AP17"/>
    <mergeCell ref="AQ59:AS59"/>
    <mergeCell ref="AQ50:AS50"/>
    <mergeCell ref="AF36:AK36"/>
    <mergeCell ref="AQ48:AS48"/>
    <mergeCell ref="AQ49:AS49"/>
    <mergeCell ref="AE58:AG58"/>
    <mergeCell ref="AH58:AM58"/>
    <mergeCell ref="AN58:AP58"/>
    <mergeCell ref="AQ58:AS58"/>
    <mergeCell ref="AE55:AT55"/>
    <mergeCell ref="AE57:AG57"/>
    <mergeCell ref="AH57:AP57"/>
    <mergeCell ref="AQ57:AS57"/>
    <mergeCell ref="AQ38:AS38"/>
    <mergeCell ref="AQ44:AS44"/>
    <mergeCell ref="AF38:AK38"/>
    <mergeCell ref="AF39:AK39"/>
    <mergeCell ref="AF44:AK44"/>
    <mergeCell ref="AQ46:AS46"/>
    <mergeCell ref="AL49:AN49"/>
    <mergeCell ref="AQ47:AS47"/>
    <mergeCell ref="AL47:AN47"/>
    <mergeCell ref="AL48:AN48"/>
    <mergeCell ref="AF46:AK46"/>
    <mergeCell ref="T3:U6"/>
    <mergeCell ref="A16:B17"/>
    <mergeCell ref="A18:B18"/>
    <mergeCell ref="T12:U14"/>
    <mergeCell ref="W12:AA13"/>
    <mergeCell ref="W14:AA14"/>
    <mergeCell ref="AE59:AG59"/>
    <mergeCell ref="AH59:AM59"/>
    <mergeCell ref="AN59:AP59"/>
    <mergeCell ref="AF23:AN23"/>
    <mergeCell ref="AF27:AN27"/>
    <mergeCell ref="AO23:AP23"/>
    <mergeCell ref="AO27:AP27"/>
    <mergeCell ref="AF47:AK47"/>
    <mergeCell ref="AL44:AN44"/>
    <mergeCell ref="AL46:AN46"/>
    <mergeCell ref="AF48:AK48"/>
    <mergeCell ref="AF49:AK49"/>
    <mergeCell ref="AL41:AN41"/>
    <mergeCell ref="AF37:AK37"/>
    <mergeCell ref="C8:R8"/>
    <mergeCell ref="D10:L10"/>
    <mergeCell ref="M10:N10"/>
    <mergeCell ref="O10:Q10"/>
  </mergeCells>
  <dataValidations count="6">
    <dataValidation type="list" errorStyle="warning" showInputMessage="1" showErrorMessage="1" errorTitle="SmartDox" error="The value you entered for the dropdown is not valid." sqref="AQ33:AQ45" xr:uid="{00000000-0002-0000-0F00-000000000000}">
      <formula1>SD_D_PL_FinancingType_Name</formula1>
    </dataValidation>
    <dataValidation type="decimal" operator="greaterThanOrEqual" allowBlank="1" showInputMessage="1" showErrorMessage="1" error="Interest Rate cannot be text." sqref="J33:L44" xr:uid="{00000000-0002-0000-0F00-000001000000}">
      <formula1>0</formula1>
    </dataValidation>
    <dataValidation type="decimal" operator="greaterThanOrEqual" allowBlank="1" showInputMessage="1" showErrorMessage="1" error="Loan Term in Years cannot be text." sqref="N33:N44" xr:uid="{00000000-0002-0000-0F00-000002000000}">
      <formula1>0</formula1>
    </dataValidation>
    <dataValidation type="decimal" operator="greaterThanOrEqual" allowBlank="1" showInputMessage="1" showErrorMessage="1" error="Amort. Period in Years cannot be text." sqref="M33:M44" xr:uid="{00000000-0002-0000-0F00-000003000000}">
      <formula1>0</formula1>
    </dataValidation>
    <dataValidation type="list" allowBlank="1" showInputMessage="1" showErrorMessage="1" sqref="O33:Q38" xr:uid="{00000000-0002-0000-0F00-000004000000}">
      <formula1>$AV$1:$AV$2</formula1>
    </dataValidation>
    <dataValidation type="list" allowBlank="1" showInputMessage="1" showErrorMessage="1" sqref="U15 A26:B26" xr:uid="{00000000-0002-0000-0F00-000005000000}">
      <formula1>$AW$1:$AW$3</formula1>
    </dataValidation>
  </dataValidations>
  <hyperlinks>
    <hyperlink ref="W14" r:id="rId1" xr:uid="{00000000-0004-0000-0F00-000000000000}"/>
  </hyperlinks>
  <pageMargins left="0.75" right="0.5" top="0.5" bottom="0.75" header="0" footer="0.5"/>
  <pageSetup scale="80" firstPageNumber="18" orientation="portrait" r:id="rId2"/>
  <headerFooter alignWithMargins="0">
    <oddFooter>&amp;C&amp;A&amp;R&amp;D &amp;T</oddFooter>
  </headerFooter>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5">
    <pageSetUpPr fitToPage="1"/>
  </sheetPr>
  <dimension ref="A1:R29"/>
  <sheetViews>
    <sheetView workbookViewId="0"/>
  </sheetViews>
  <sheetFormatPr defaultColWidth="9.5703125" defaultRowHeight="12.75"/>
  <cols>
    <col min="1" max="1" width="4.7109375" style="4" customWidth="1"/>
    <col min="2" max="2" width="2.7109375" style="4" customWidth="1"/>
    <col min="3" max="3" width="3.42578125" style="4" bestFit="1" customWidth="1"/>
    <col min="4" max="4" width="2.7109375" style="12"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8.7109375" style="4" customWidth="1"/>
    <col min="14" max="14" width="11.7109375" style="4" customWidth="1"/>
    <col min="15" max="15" width="6.7109375" style="4" customWidth="1"/>
    <col min="16" max="16" width="10.7109375" style="4" customWidth="1"/>
    <col min="17" max="17" width="3.7109375" style="4" customWidth="1"/>
    <col min="18" max="18" width="19.7109375" style="4" customWidth="1"/>
    <col min="19" max="34" width="9.5703125" style="4" customWidth="1"/>
    <col min="35" max="16384" width="9.5703125" style="4"/>
  </cols>
  <sheetData>
    <row r="1" spans="1:18" s="814" customFormat="1">
      <c r="A1" s="1302" t="str">
        <f>IF('FORM 1040-1'!D15="","",'FORM 1040-1'!D15)</f>
        <v/>
      </c>
      <c r="B1" s="1303"/>
      <c r="C1" s="1303"/>
      <c r="D1" s="1304"/>
      <c r="E1" s="1303"/>
      <c r="F1" s="1303"/>
      <c r="G1" s="1303"/>
      <c r="H1" s="1303"/>
      <c r="I1" s="1303"/>
      <c r="J1" s="1303"/>
      <c r="K1" s="1303"/>
      <c r="L1" s="1303"/>
      <c r="M1" s="1303"/>
      <c r="N1" s="1303"/>
      <c r="O1" s="1303"/>
      <c r="P1" s="1303"/>
      <c r="Q1" s="1303"/>
      <c r="R1" s="1294" t="str">
        <f>IF('FORM 1040-1'!$E$12="","",'FORM 1040-1'!$E$12)</f>
        <v/>
      </c>
    </row>
    <row r="2" spans="1:18" s="814" customFormat="1">
      <c r="D2" s="801"/>
    </row>
    <row r="3" spans="1:18" ht="15.75" customHeight="1">
      <c r="A3" s="1704" t="s">
        <v>2309</v>
      </c>
      <c r="B3" s="1704"/>
      <c r="C3" s="1704"/>
      <c r="D3" s="1704"/>
      <c r="E3" s="1704"/>
      <c r="F3" s="1704"/>
      <c r="G3" s="1704"/>
      <c r="H3" s="1704"/>
      <c r="I3" s="1704"/>
      <c r="J3" s="1704"/>
      <c r="K3" s="1704"/>
      <c r="L3" s="1704"/>
      <c r="M3" s="1704"/>
      <c r="N3" s="1704"/>
      <c r="O3" s="1704"/>
      <c r="P3" s="1704"/>
      <c r="Q3" s="1704"/>
      <c r="R3" s="1704"/>
    </row>
    <row r="4" spans="1:18" ht="12" customHeight="1">
      <c r="A4" s="268"/>
      <c r="B4" s="268"/>
      <c r="C4" s="268"/>
      <c r="D4" s="268"/>
      <c r="E4" s="268"/>
      <c r="F4" s="268"/>
      <c r="G4" s="268"/>
      <c r="H4" s="268"/>
      <c r="I4" s="268"/>
      <c r="J4" s="157"/>
      <c r="K4" s="157"/>
      <c r="L4" s="157"/>
      <c r="M4" s="157"/>
      <c r="N4" s="157"/>
      <c r="O4" s="157"/>
      <c r="P4" s="157"/>
      <c r="Q4" s="157"/>
      <c r="R4" s="157"/>
    </row>
    <row r="5" spans="1:18">
      <c r="A5" s="12" t="s">
        <v>222</v>
      </c>
      <c r="B5" s="85" t="s">
        <v>55</v>
      </c>
      <c r="C5" s="1593" t="s">
        <v>635</v>
      </c>
      <c r="D5" s="1593"/>
      <c r="E5" s="1593"/>
      <c r="F5" s="1593"/>
      <c r="G5" s="1593"/>
      <c r="H5" s="1593"/>
      <c r="I5" s="1593"/>
      <c r="J5" s="1593"/>
      <c r="K5" s="1593"/>
      <c r="L5" s="1593"/>
      <c r="M5" s="1593"/>
      <c r="N5" s="1593"/>
      <c r="O5" s="1593"/>
      <c r="P5" s="1593"/>
      <c r="Q5" s="1593"/>
      <c r="R5" s="1593"/>
    </row>
    <row r="6" spans="1:18" ht="12" customHeight="1">
      <c r="B6" s="85"/>
      <c r="C6" s="202"/>
      <c r="D6" s="202"/>
      <c r="E6" s="202"/>
      <c r="F6" s="202"/>
      <c r="G6" s="202"/>
      <c r="H6" s="202"/>
      <c r="I6" s="202"/>
      <c r="J6" s="202"/>
      <c r="K6" s="202"/>
      <c r="L6" s="202"/>
      <c r="M6" s="202"/>
    </row>
    <row r="7" spans="1:18" ht="26.1" customHeight="1">
      <c r="C7" s="1716" t="s">
        <v>634</v>
      </c>
      <c r="D7" s="1716"/>
      <c r="E7" s="1716"/>
      <c r="F7" s="1716"/>
      <c r="G7" s="1716"/>
      <c r="H7" s="1716"/>
      <c r="I7" s="1716"/>
      <c r="J7" s="1716"/>
      <c r="K7" s="1716"/>
      <c r="L7" s="1716"/>
      <c r="M7" s="1716"/>
      <c r="N7" s="1716"/>
      <c r="O7" s="1716"/>
      <c r="P7" s="1716"/>
      <c r="Q7" s="1716"/>
      <c r="R7" s="1716"/>
    </row>
    <row r="8" spans="1:18" ht="9.9499999999999993" customHeight="1" thickBot="1">
      <c r="C8" s="202"/>
      <c r="D8" s="202"/>
      <c r="E8" s="202"/>
      <c r="F8" s="202"/>
      <c r="G8" s="202"/>
      <c r="H8" s="202"/>
      <c r="I8" s="202"/>
      <c r="J8" s="202"/>
      <c r="K8" s="202"/>
      <c r="L8" s="202"/>
      <c r="M8" s="202"/>
    </row>
    <row r="9" spans="1:18" ht="14.1" customHeight="1" thickTop="1">
      <c r="C9" s="1613"/>
      <c r="D9" s="1614"/>
      <c r="E9" s="1614"/>
      <c r="F9" s="1613"/>
      <c r="G9" s="1614"/>
      <c r="H9" s="1614"/>
      <c r="I9" s="1614"/>
      <c r="J9" s="1614"/>
      <c r="K9" s="1614"/>
      <c r="L9" s="1614"/>
      <c r="M9" s="1614"/>
      <c r="N9" s="1615"/>
      <c r="O9" s="1613" t="s">
        <v>260</v>
      </c>
      <c r="P9" s="1614"/>
      <c r="Q9" s="1615"/>
      <c r="R9" s="46"/>
    </row>
    <row r="10" spans="1:18" ht="14.1" customHeight="1" thickBot="1">
      <c r="C10" s="1610" t="s">
        <v>160</v>
      </c>
      <c r="D10" s="1611"/>
      <c r="E10" s="1611"/>
      <c r="F10" s="1629" t="s">
        <v>261</v>
      </c>
      <c r="G10" s="1634"/>
      <c r="H10" s="1634"/>
      <c r="I10" s="1634"/>
      <c r="J10" s="1634"/>
      <c r="K10" s="1634"/>
      <c r="L10" s="1634"/>
      <c r="M10" s="1634"/>
      <c r="N10" s="1630"/>
      <c r="O10" s="1610" t="s">
        <v>161</v>
      </c>
      <c r="P10" s="1611"/>
      <c r="Q10" s="1612"/>
      <c r="R10" s="110" t="s">
        <v>100</v>
      </c>
    </row>
    <row r="11" spans="1:18" ht="14.1" customHeight="1" thickTop="1" thickBot="1">
      <c r="C11" s="1610" t="s">
        <v>162</v>
      </c>
      <c r="D11" s="1611"/>
      <c r="E11" s="1611"/>
      <c r="F11" s="1610" t="s">
        <v>163</v>
      </c>
      <c r="G11" s="1611"/>
      <c r="H11" s="1611"/>
      <c r="I11" s="1611"/>
      <c r="J11" s="1611"/>
      <c r="K11" s="1611"/>
      <c r="L11" s="1780" t="s">
        <v>164</v>
      </c>
      <c r="M11" s="1843"/>
      <c r="N11" s="1781"/>
      <c r="O11" s="1610" t="s">
        <v>165</v>
      </c>
      <c r="P11" s="1611"/>
      <c r="Q11" s="1612"/>
      <c r="R11" s="51" t="s">
        <v>1605</v>
      </c>
    </row>
    <row r="12" spans="1:18" ht="16.5" customHeight="1" thickTop="1" thickBot="1">
      <c r="C12" s="1930">
        <v>1</v>
      </c>
      <c r="D12" s="1930"/>
      <c r="E12" s="1930"/>
      <c r="F12" s="1931"/>
      <c r="G12" s="1931"/>
      <c r="H12" s="1931"/>
      <c r="I12" s="1931"/>
      <c r="J12" s="1931"/>
      <c r="K12" s="1931"/>
      <c r="L12" s="1931"/>
      <c r="M12" s="1931"/>
      <c r="N12" s="1931"/>
      <c r="O12" s="1931"/>
      <c r="P12" s="1931"/>
      <c r="Q12" s="1931"/>
      <c r="R12" s="275">
        <f>SUM(F12:O12)</f>
        <v>0</v>
      </c>
    </row>
    <row r="13" spans="1:18" ht="16.5" customHeight="1" thickTop="1" thickBot="1">
      <c r="C13" s="1930">
        <v>2</v>
      </c>
      <c r="D13" s="1930"/>
      <c r="E13" s="1930"/>
      <c r="F13" s="1931"/>
      <c r="G13" s="1931"/>
      <c r="H13" s="1931"/>
      <c r="I13" s="1931"/>
      <c r="J13" s="1931"/>
      <c r="K13" s="1931"/>
      <c r="L13" s="1931"/>
      <c r="M13" s="1931"/>
      <c r="N13" s="1931"/>
      <c r="O13" s="1931"/>
      <c r="P13" s="1931"/>
      <c r="Q13" s="1931"/>
      <c r="R13" s="275">
        <f>SUM(F13:O13)</f>
        <v>0</v>
      </c>
    </row>
    <row r="14" spans="1:18" ht="16.5" customHeight="1" thickTop="1" thickBot="1">
      <c r="C14" s="1930">
        <v>3</v>
      </c>
      <c r="D14" s="1930"/>
      <c r="E14" s="1930"/>
      <c r="F14" s="1931"/>
      <c r="G14" s="1931"/>
      <c r="H14" s="1931"/>
      <c r="I14" s="1931"/>
      <c r="J14" s="1931"/>
      <c r="K14" s="1931"/>
      <c r="L14" s="1931"/>
      <c r="M14" s="1931"/>
      <c r="N14" s="1931"/>
      <c r="O14" s="1931"/>
      <c r="P14" s="1931"/>
      <c r="Q14" s="1931"/>
      <c r="R14" s="275">
        <f>SUM(F14:O14)</f>
        <v>0</v>
      </c>
    </row>
    <row r="15" spans="1:18" ht="16.5" customHeight="1" thickTop="1" thickBot="1">
      <c r="C15" s="1930">
        <v>4</v>
      </c>
      <c r="D15" s="1930"/>
      <c r="E15" s="1930"/>
      <c r="F15" s="1931"/>
      <c r="G15" s="1931"/>
      <c r="H15" s="1931"/>
      <c r="I15" s="1931"/>
      <c r="J15" s="1931"/>
      <c r="K15" s="1931"/>
      <c r="L15" s="1931"/>
      <c r="M15" s="1931"/>
      <c r="N15" s="1931"/>
      <c r="O15" s="1931"/>
      <c r="P15" s="1931"/>
      <c r="Q15" s="1931"/>
      <c r="R15" s="275">
        <f>SUM(F15:O15)</f>
        <v>0</v>
      </c>
    </row>
    <row r="16" spans="1:18" ht="16.5" customHeight="1" thickTop="1" thickBot="1">
      <c r="C16" s="1930">
        <v>5</v>
      </c>
      <c r="D16" s="1930"/>
      <c r="E16" s="1930"/>
      <c r="F16" s="1931"/>
      <c r="G16" s="1931"/>
      <c r="H16" s="1931"/>
      <c r="I16" s="1931"/>
      <c r="J16" s="1931"/>
      <c r="K16" s="1931"/>
      <c r="L16" s="1931"/>
      <c r="M16" s="1931"/>
      <c r="N16" s="1931"/>
      <c r="O16" s="1931"/>
      <c r="P16" s="1931"/>
      <c r="Q16" s="1931"/>
      <c r="R16" s="275">
        <f>SUM(F16:O16)</f>
        <v>0</v>
      </c>
    </row>
    <row r="17" spans="3:18" ht="16.5" customHeight="1" thickTop="1" thickBot="1">
      <c r="C17" s="1930">
        <v>6</v>
      </c>
      <c r="D17" s="1930"/>
      <c r="E17" s="1930"/>
      <c r="F17" s="1931"/>
      <c r="G17" s="1931"/>
      <c r="H17" s="1931"/>
      <c r="I17" s="1931"/>
      <c r="J17" s="1931"/>
      <c r="K17" s="1931"/>
      <c r="L17" s="1931"/>
      <c r="M17" s="1931"/>
      <c r="N17" s="1931"/>
      <c r="O17" s="1931"/>
      <c r="P17" s="1931"/>
      <c r="Q17" s="1931"/>
      <c r="R17" s="275">
        <f t="shared" ref="R17:R25" si="0">SUM(F17:O17)</f>
        <v>0</v>
      </c>
    </row>
    <row r="18" spans="3:18" ht="16.5" customHeight="1" thickTop="1" thickBot="1">
      <c r="C18" s="1930">
        <v>7</v>
      </c>
      <c r="D18" s="1930"/>
      <c r="E18" s="1930"/>
      <c r="F18" s="1931"/>
      <c r="G18" s="1931"/>
      <c r="H18" s="1931"/>
      <c r="I18" s="1931"/>
      <c r="J18" s="1931"/>
      <c r="K18" s="1931"/>
      <c r="L18" s="1931"/>
      <c r="M18" s="1931"/>
      <c r="N18" s="1931"/>
      <c r="O18" s="1931"/>
      <c r="P18" s="1931"/>
      <c r="Q18" s="1931"/>
      <c r="R18" s="275">
        <f t="shared" si="0"/>
        <v>0</v>
      </c>
    </row>
    <row r="19" spans="3:18" ht="16.5" customHeight="1" thickTop="1" thickBot="1">
      <c r="C19" s="1930">
        <v>8</v>
      </c>
      <c r="D19" s="1930"/>
      <c r="E19" s="1930"/>
      <c r="F19" s="1931"/>
      <c r="G19" s="1931"/>
      <c r="H19" s="1931"/>
      <c r="I19" s="1931"/>
      <c r="J19" s="1931"/>
      <c r="K19" s="1931"/>
      <c r="L19" s="1931"/>
      <c r="M19" s="1931"/>
      <c r="N19" s="1931"/>
      <c r="O19" s="1931"/>
      <c r="P19" s="1931"/>
      <c r="Q19" s="1931"/>
      <c r="R19" s="275">
        <f t="shared" si="0"/>
        <v>0</v>
      </c>
    </row>
    <row r="20" spans="3:18" ht="16.5" customHeight="1" thickTop="1" thickBot="1">
      <c r="C20" s="1930">
        <v>9</v>
      </c>
      <c r="D20" s="1930"/>
      <c r="E20" s="1930"/>
      <c r="F20" s="1931"/>
      <c r="G20" s="1931"/>
      <c r="H20" s="1931"/>
      <c r="I20" s="1931"/>
      <c r="J20" s="1931"/>
      <c r="K20" s="1931"/>
      <c r="L20" s="1931"/>
      <c r="M20" s="1931"/>
      <c r="N20" s="1931"/>
      <c r="O20" s="1931"/>
      <c r="P20" s="1931"/>
      <c r="Q20" s="1931"/>
      <c r="R20" s="275">
        <f t="shared" si="0"/>
        <v>0</v>
      </c>
    </row>
    <row r="21" spans="3:18" ht="16.5" customHeight="1" thickTop="1" thickBot="1">
      <c r="C21" s="1930">
        <v>10</v>
      </c>
      <c r="D21" s="1930"/>
      <c r="E21" s="1930"/>
      <c r="F21" s="1931"/>
      <c r="G21" s="1931"/>
      <c r="H21" s="1931"/>
      <c r="I21" s="1931"/>
      <c r="J21" s="1931"/>
      <c r="K21" s="1931"/>
      <c r="L21" s="1931"/>
      <c r="M21" s="1931"/>
      <c r="N21" s="1931"/>
      <c r="O21" s="1931"/>
      <c r="P21" s="1931"/>
      <c r="Q21" s="1931"/>
      <c r="R21" s="275">
        <f t="shared" si="0"/>
        <v>0</v>
      </c>
    </row>
    <row r="22" spans="3:18" ht="16.5" customHeight="1" thickTop="1" thickBot="1">
      <c r="C22" s="1930">
        <v>11</v>
      </c>
      <c r="D22" s="1930"/>
      <c r="E22" s="1930"/>
      <c r="F22" s="1931"/>
      <c r="G22" s="1931"/>
      <c r="H22" s="1931"/>
      <c r="I22" s="1931"/>
      <c r="J22" s="1931"/>
      <c r="K22" s="1931"/>
      <c r="L22" s="1931"/>
      <c r="M22" s="1931"/>
      <c r="N22" s="1931"/>
      <c r="O22" s="1931"/>
      <c r="P22" s="1931"/>
      <c r="Q22" s="1931"/>
      <c r="R22" s="275">
        <f t="shared" si="0"/>
        <v>0</v>
      </c>
    </row>
    <row r="23" spans="3:18" ht="16.5" customHeight="1" thickTop="1" thickBot="1">
      <c r="C23" s="1930">
        <v>12</v>
      </c>
      <c r="D23" s="1930"/>
      <c r="E23" s="1930"/>
      <c r="F23" s="1931"/>
      <c r="G23" s="1931"/>
      <c r="H23" s="1931"/>
      <c r="I23" s="1931"/>
      <c r="J23" s="1931"/>
      <c r="K23" s="1931"/>
      <c r="L23" s="1931"/>
      <c r="M23" s="1931"/>
      <c r="N23" s="1931"/>
      <c r="O23" s="1931"/>
      <c r="P23" s="1931"/>
      <c r="Q23" s="1931"/>
      <c r="R23" s="275">
        <f t="shared" si="0"/>
        <v>0</v>
      </c>
    </row>
    <row r="24" spans="3:18" ht="16.5" customHeight="1" thickTop="1" thickBot="1">
      <c r="C24" s="1930">
        <v>13</v>
      </c>
      <c r="D24" s="1930"/>
      <c r="E24" s="1930"/>
      <c r="F24" s="1931"/>
      <c r="G24" s="1931"/>
      <c r="H24" s="1931"/>
      <c r="I24" s="1931"/>
      <c r="J24" s="1931"/>
      <c r="K24" s="1931"/>
      <c r="L24" s="1931"/>
      <c r="M24" s="1931"/>
      <c r="N24" s="1931"/>
      <c r="O24" s="1931"/>
      <c r="P24" s="1931"/>
      <c r="Q24" s="1931"/>
      <c r="R24" s="275">
        <f t="shared" si="0"/>
        <v>0</v>
      </c>
    </row>
    <row r="25" spans="3:18" ht="16.5" customHeight="1" thickTop="1" thickBot="1">
      <c r="C25" s="1930">
        <v>14</v>
      </c>
      <c r="D25" s="1930"/>
      <c r="E25" s="1930"/>
      <c r="F25" s="1931"/>
      <c r="G25" s="1931"/>
      <c r="H25" s="1931"/>
      <c r="I25" s="1931"/>
      <c r="J25" s="1931"/>
      <c r="K25" s="1931"/>
      <c r="L25" s="1931"/>
      <c r="M25" s="1931"/>
      <c r="N25" s="1931"/>
      <c r="O25" s="1931"/>
      <c r="P25" s="1931"/>
      <c r="Q25" s="1931"/>
      <c r="R25" s="275">
        <f t="shared" si="0"/>
        <v>0</v>
      </c>
    </row>
    <row r="26" spans="3:18" ht="16.5" customHeight="1" thickTop="1" thickBot="1">
      <c r="C26" s="1930">
        <v>15</v>
      </c>
      <c r="D26" s="1930"/>
      <c r="E26" s="1930"/>
      <c r="F26" s="1931"/>
      <c r="G26" s="1931"/>
      <c r="H26" s="1931"/>
      <c r="I26" s="1931"/>
      <c r="J26" s="1931"/>
      <c r="K26" s="1931"/>
      <c r="L26" s="1931"/>
      <c r="M26" s="1931"/>
      <c r="N26" s="1931"/>
      <c r="O26" s="1931"/>
      <c r="P26" s="1931"/>
      <c r="Q26" s="1931"/>
      <c r="R26" s="275">
        <f>SUM(F26:O26)</f>
        <v>0</v>
      </c>
    </row>
    <row r="27" spans="3:18" ht="27" customHeight="1" thickTop="1" thickBot="1">
      <c r="C27" s="1814" t="s">
        <v>121</v>
      </c>
      <c r="D27" s="1814"/>
      <c r="E27" s="1814"/>
      <c r="F27" s="1932">
        <f>SUM(F12:K26)</f>
        <v>0</v>
      </c>
      <c r="G27" s="1932"/>
      <c r="H27" s="1932"/>
      <c r="I27" s="1932"/>
      <c r="J27" s="1932"/>
      <c r="K27" s="1932"/>
      <c r="L27" s="1933">
        <f>SUM(L12:N26)</f>
        <v>0</v>
      </c>
      <c r="M27" s="1934"/>
      <c r="N27" s="1935"/>
      <c r="O27" s="1933">
        <f>SUM(O12:Q26)</f>
        <v>0</v>
      </c>
      <c r="P27" s="1934"/>
      <c r="Q27" s="1935"/>
      <c r="R27" s="280">
        <f>SUM(F27:Q27)</f>
        <v>0</v>
      </c>
    </row>
    <row r="28" spans="3:18" ht="9.9499999999999993" customHeight="1" thickTop="1"/>
    <row r="29" spans="3:18">
      <c r="C29" s="37"/>
      <c r="D29" s="37"/>
      <c r="E29" s="37"/>
      <c r="F29" s="37"/>
      <c r="G29" s="37"/>
      <c r="H29" s="37"/>
      <c r="I29" s="37"/>
      <c r="J29" s="37"/>
      <c r="K29" s="37"/>
      <c r="L29" s="37"/>
      <c r="M29" s="37"/>
      <c r="N29" s="37"/>
      <c r="O29" s="37"/>
      <c r="P29" s="37"/>
      <c r="Q29" s="37"/>
      <c r="R29" s="37"/>
    </row>
  </sheetData>
  <sheetProtection algorithmName="SHA-512" hashValue="cc7Y/X+leV9VX8/sWNej1iYD9vcCCZtlilcHqbwOCZ3tkGhuCEQUa4njb7shBESEe01m2gDkHJ+d8W1/DzAL4g==" saltValue="eRGrdnxSB5vvNGYEShD/oQ==" spinCount="100000" sheet="1" objects="1" scenarios="1"/>
  <mergeCells count="77">
    <mergeCell ref="F24:K24"/>
    <mergeCell ref="L24:N24"/>
    <mergeCell ref="C25:E25"/>
    <mergeCell ref="F25:K25"/>
    <mergeCell ref="L25:N25"/>
    <mergeCell ref="C24:E24"/>
    <mergeCell ref="C20:E20"/>
    <mergeCell ref="F20:K20"/>
    <mergeCell ref="L20:N20"/>
    <mergeCell ref="C21:E21"/>
    <mergeCell ref="F21:K21"/>
    <mergeCell ref="L21:N21"/>
    <mergeCell ref="C22:E22"/>
    <mergeCell ref="F22:K22"/>
    <mergeCell ref="L22:N22"/>
    <mergeCell ref="C23:E23"/>
    <mergeCell ref="F23:K23"/>
    <mergeCell ref="L23:N23"/>
    <mergeCell ref="C27:E27"/>
    <mergeCell ref="F27:K27"/>
    <mergeCell ref="L27:N27"/>
    <mergeCell ref="O27:Q27"/>
    <mergeCell ref="A3:R3"/>
    <mergeCell ref="C17:E17"/>
    <mergeCell ref="F17:K17"/>
    <mergeCell ref="L17:N17"/>
    <mergeCell ref="C16:E16"/>
    <mergeCell ref="F16:K16"/>
    <mergeCell ref="L16:N16"/>
    <mergeCell ref="O16:Q16"/>
    <mergeCell ref="C26:E26"/>
    <mergeCell ref="F26:K26"/>
    <mergeCell ref="L26:N26"/>
    <mergeCell ref="O26:Q26"/>
    <mergeCell ref="O14:Q14"/>
    <mergeCell ref="C15:E15"/>
    <mergeCell ref="F15:K15"/>
    <mergeCell ref="L15:N15"/>
    <mergeCell ref="O15:Q15"/>
    <mergeCell ref="C14:E14"/>
    <mergeCell ref="F14:K14"/>
    <mergeCell ref="L14:N14"/>
    <mergeCell ref="C12:E12"/>
    <mergeCell ref="F12:K12"/>
    <mergeCell ref="L12:N12"/>
    <mergeCell ref="O12:Q12"/>
    <mergeCell ref="C13:E13"/>
    <mergeCell ref="F13:K13"/>
    <mergeCell ref="L13:N13"/>
    <mergeCell ref="O13:Q13"/>
    <mergeCell ref="C10:E10"/>
    <mergeCell ref="F10:N10"/>
    <mergeCell ref="O10:Q10"/>
    <mergeCell ref="C11:E11"/>
    <mergeCell ref="F11:K11"/>
    <mergeCell ref="L11:N11"/>
    <mergeCell ref="O11:Q11"/>
    <mergeCell ref="C5:R5"/>
    <mergeCell ref="C7:R7"/>
    <mergeCell ref="C9:E9"/>
    <mergeCell ref="F9:N9"/>
    <mergeCell ref="O9:Q9"/>
    <mergeCell ref="O24:Q24"/>
    <mergeCell ref="O25:Q25"/>
    <mergeCell ref="O22:Q22"/>
    <mergeCell ref="O23:Q23"/>
    <mergeCell ref="O19:Q19"/>
    <mergeCell ref="O20:Q20"/>
    <mergeCell ref="O21:Q21"/>
    <mergeCell ref="C19:E19"/>
    <mergeCell ref="F19:K19"/>
    <mergeCell ref="L19:N19"/>
    <mergeCell ref="O17:Q17"/>
    <mergeCell ref="O18:Q18"/>
    <mergeCell ref="C18:E18"/>
    <mergeCell ref="F18:K18"/>
    <mergeCell ref="L18:N18"/>
  </mergeCells>
  <pageMargins left="0.75" right="0.5" top="0.5" bottom="0.75" header="0" footer="0.5"/>
  <pageSetup scale="90" firstPageNumber="18" orientation="portrait" r:id="rId1"/>
  <headerFooter alignWithMargins="0">
    <oddFooter>&amp;C&amp;A&amp;R&amp;D &amp;T</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6">
    <pageSetUpPr fitToPage="1"/>
  </sheetPr>
  <dimension ref="A1:AL78"/>
  <sheetViews>
    <sheetView workbookViewId="0"/>
  </sheetViews>
  <sheetFormatPr defaultColWidth="10.7109375" defaultRowHeight="12.75"/>
  <cols>
    <col min="1" max="1" width="4.7109375" style="4" customWidth="1"/>
    <col min="2" max="3" width="3.5703125" style="202" customWidth="1"/>
    <col min="4" max="4" width="3.85546875" style="202" customWidth="1"/>
    <col min="5" max="5" width="2.7109375" style="202" customWidth="1"/>
    <col min="6" max="6" width="4.7109375" style="202" customWidth="1"/>
    <col min="7" max="7" width="12.7109375" style="202" customWidth="1"/>
    <col min="8" max="8" width="20.7109375" style="202" customWidth="1"/>
    <col min="9" max="9" width="10.7109375" style="202" customWidth="1"/>
    <col min="10" max="10" width="9.7109375" style="202" customWidth="1"/>
    <col min="11" max="11" width="5.7109375" style="202" customWidth="1"/>
    <col min="12" max="12" width="4.7109375" style="202" customWidth="1"/>
    <col min="13" max="14" width="9.7109375" style="202" customWidth="1"/>
    <col min="15" max="15" width="9.7109375" style="872" customWidth="1"/>
    <col min="16" max="16" width="10.7109375" style="4"/>
    <col min="17" max="17" width="5.7109375" style="6" customWidth="1"/>
    <col min="18" max="18" width="4.7109375" style="4" hidden="1" customWidth="1"/>
    <col min="19" max="20" width="3.5703125" style="202" hidden="1" customWidth="1"/>
    <col min="21" max="21" width="3.85546875" style="202" hidden="1" customWidth="1"/>
    <col min="22" max="22" width="3.5703125" style="202" hidden="1" customWidth="1"/>
    <col min="23" max="23" width="3.85546875" style="202" hidden="1" customWidth="1"/>
    <col min="24" max="25" width="6.7109375" style="202" hidden="1" customWidth="1"/>
    <col min="26" max="26" width="10.7109375" style="202" hidden="1" customWidth="1"/>
    <col min="27" max="27" width="11.7109375" style="202" hidden="1" customWidth="1"/>
    <col min="28" max="28" width="6.7109375" style="202" hidden="1" customWidth="1"/>
    <col min="29" max="29" width="4.7109375" style="202" hidden="1" customWidth="1"/>
    <col min="30" max="31" width="11.7109375" style="202" hidden="1" customWidth="1"/>
    <col min="32" max="32" width="1.7109375" style="202" hidden="1" customWidth="1"/>
    <col min="33" max="33" width="10.7109375" style="202" hidden="1" customWidth="1"/>
    <col min="34" max="37" width="9.7109375" style="4" hidden="1" customWidth="1"/>
    <col min="38" max="38" width="5.7109375" style="6" customWidth="1"/>
    <col min="39" max="270" width="9.7109375" style="4" customWidth="1"/>
    <col min="271" max="16384" width="10.7109375" style="4"/>
  </cols>
  <sheetData>
    <row r="1" spans="1:38" s="814" customFormat="1">
      <c r="A1" s="1302" t="str">
        <f>IF('FORM 1040-1'!D15="","",'FORM 1040-1'!D15)</f>
        <v/>
      </c>
      <c r="B1" s="1306"/>
      <c r="C1" s="1306"/>
      <c r="D1" s="1306"/>
      <c r="E1" s="1306"/>
      <c r="F1" s="1306"/>
      <c r="G1" s="1306"/>
      <c r="H1" s="1306"/>
      <c r="I1" s="1306"/>
      <c r="J1" s="1306"/>
      <c r="K1" s="1306"/>
      <c r="L1" s="1306"/>
      <c r="M1" s="1306"/>
      <c r="N1" s="1306"/>
      <c r="O1" s="1294" t="str">
        <f>IF('FORM 1040-1'!$E$12="","",'FORM 1040-1'!$E$12)</f>
        <v/>
      </c>
      <c r="Q1" s="6"/>
      <c r="R1" s="878"/>
      <c r="S1" s="879"/>
      <c r="T1" s="879"/>
      <c r="U1" s="879"/>
      <c r="V1" s="879"/>
      <c r="W1" s="879"/>
      <c r="X1" s="879"/>
      <c r="Y1" s="879"/>
      <c r="Z1" s="879"/>
      <c r="AA1" s="879"/>
      <c r="AB1" s="879"/>
      <c r="AC1" s="879"/>
      <c r="AD1" s="879"/>
      <c r="AE1" s="879"/>
      <c r="AF1" s="879"/>
      <c r="AG1" s="879"/>
      <c r="AH1" s="878"/>
      <c r="AI1" s="293" t="s">
        <v>2461</v>
      </c>
      <c r="AL1" s="6"/>
    </row>
    <row r="2" spans="1:38" s="814" customFormat="1">
      <c r="B2" s="802"/>
      <c r="C2" s="802"/>
      <c r="D2" s="802"/>
      <c r="E2" s="802"/>
      <c r="F2" s="802"/>
      <c r="G2" s="802"/>
      <c r="H2" s="802"/>
      <c r="I2" s="802"/>
      <c r="J2" s="802"/>
      <c r="K2" s="802"/>
      <c r="L2" s="802"/>
      <c r="M2" s="802"/>
      <c r="N2" s="802"/>
      <c r="O2" s="872"/>
      <c r="Q2" s="6"/>
      <c r="R2" s="878"/>
      <c r="S2" s="879"/>
      <c r="T2" s="879"/>
      <c r="U2" s="879"/>
      <c r="V2" s="879"/>
      <c r="W2" s="879"/>
      <c r="X2" s="879"/>
      <c r="Y2" s="879"/>
      <c r="Z2" s="879"/>
      <c r="AA2" s="879"/>
      <c r="AB2" s="879"/>
      <c r="AC2" s="879"/>
      <c r="AD2" s="879"/>
      <c r="AE2" s="879"/>
      <c r="AF2" s="879"/>
      <c r="AG2" s="879"/>
      <c r="AH2" s="878"/>
      <c r="AI2" s="293" t="s">
        <v>2084</v>
      </c>
      <c r="AL2" s="6"/>
    </row>
    <row r="3" spans="1:38" ht="15" customHeight="1">
      <c r="A3" s="12" t="s">
        <v>236</v>
      </c>
      <c r="B3" s="1694" t="s">
        <v>265</v>
      </c>
      <c r="C3" s="1694"/>
      <c r="D3" s="1694"/>
      <c r="E3" s="1694"/>
      <c r="F3" s="1694"/>
      <c r="G3" s="1694"/>
      <c r="H3" s="1694"/>
      <c r="I3" s="1694"/>
      <c r="J3" s="1694"/>
      <c r="K3" s="1694"/>
      <c r="L3" s="1694"/>
      <c r="M3" s="1965" t="s">
        <v>1952</v>
      </c>
      <c r="N3" s="1966"/>
      <c r="O3" s="1962" t="s">
        <v>2477</v>
      </c>
      <c r="R3" s="876"/>
      <c r="S3" s="879"/>
      <c r="T3" s="879"/>
      <c r="U3" s="879"/>
      <c r="V3" s="879"/>
      <c r="W3" s="879"/>
      <c r="X3" s="879"/>
      <c r="Y3" s="879"/>
      <c r="Z3" s="879"/>
      <c r="AA3" s="879"/>
      <c r="AB3" s="879"/>
      <c r="AC3" s="879"/>
      <c r="AD3" s="879"/>
      <c r="AE3" s="879"/>
      <c r="AF3" s="879"/>
      <c r="AG3" s="879"/>
      <c r="AH3" s="878"/>
      <c r="AI3" s="293" t="s">
        <v>2085</v>
      </c>
      <c r="AJ3" s="294" t="b">
        <v>1</v>
      </c>
      <c r="AK3" s="293" t="s">
        <v>209</v>
      </c>
    </row>
    <row r="4" spans="1:38" ht="12" customHeight="1">
      <c r="M4" s="1967"/>
      <c r="N4" s="1968"/>
      <c r="O4" s="1963"/>
      <c r="R4" s="878"/>
      <c r="S4" s="879"/>
      <c r="T4" s="879"/>
      <c r="U4" s="879"/>
      <c r="V4" s="879"/>
      <c r="W4" s="879"/>
      <c r="X4" s="879"/>
      <c r="Y4" s="879"/>
      <c r="Z4" s="879"/>
      <c r="AA4" s="879"/>
      <c r="AB4" s="879"/>
      <c r="AC4" s="879"/>
      <c r="AD4" s="879"/>
      <c r="AE4" s="879"/>
      <c r="AF4" s="879"/>
      <c r="AG4" s="879"/>
      <c r="AH4" s="878"/>
      <c r="AI4" s="293" t="s">
        <v>2086</v>
      </c>
      <c r="AJ4" s="294" t="b">
        <v>0</v>
      </c>
      <c r="AK4" s="293" t="s">
        <v>225</v>
      </c>
    </row>
    <row r="5" spans="1:38" ht="15" customHeight="1">
      <c r="B5" s="85" t="s">
        <v>53</v>
      </c>
      <c r="C5" s="1694" t="s">
        <v>1496</v>
      </c>
      <c r="D5" s="1694"/>
      <c r="E5" s="1694"/>
      <c r="F5" s="1694"/>
      <c r="G5" s="1694"/>
      <c r="H5" s="1694"/>
      <c r="I5" s="1694"/>
      <c r="J5" s="1694"/>
      <c r="K5" s="1694"/>
      <c r="L5" s="1694"/>
      <c r="M5" s="1969"/>
      <c r="N5" s="1970"/>
      <c r="O5" s="1964"/>
      <c r="R5" s="878"/>
      <c r="S5" s="85"/>
      <c r="T5" s="877"/>
      <c r="U5" s="877"/>
      <c r="V5" s="877"/>
      <c r="W5" s="877"/>
      <c r="X5" s="877"/>
      <c r="Y5" s="877"/>
      <c r="Z5" s="877"/>
      <c r="AA5" s="877"/>
      <c r="AB5" s="877"/>
      <c r="AC5" s="877"/>
      <c r="AD5" s="877"/>
      <c r="AE5" s="877"/>
      <c r="AF5" s="877"/>
      <c r="AG5" s="877"/>
      <c r="AH5" s="878"/>
      <c r="AI5" s="293" t="s">
        <v>2087</v>
      </c>
    </row>
    <row r="6" spans="1:38" ht="6" customHeight="1">
      <c r="B6" s="85"/>
      <c r="M6" s="1575"/>
      <c r="N6" s="1576"/>
      <c r="O6" s="890"/>
      <c r="R6" s="878"/>
      <c r="S6" s="85"/>
      <c r="T6" s="879"/>
      <c r="U6" s="879"/>
      <c r="V6" s="879"/>
      <c r="W6" s="879"/>
      <c r="X6" s="879"/>
      <c r="Y6" s="879"/>
      <c r="Z6" s="879"/>
      <c r="AA6" s="879"/>
      <c r="AB6" s="879"/>
      <c r="AC6" s="879"/>
      <c r="AD6" s="879"/>
      <c r="AE6" s="879"/>
      <c r="AF6" s="879"/>
      <c r="AG6" s="879"/>
      <c r="AH6" s="878"/>
      <c r="AI6" s="293" t="s">
        <v>414</v>
      </c>
    </row>
    <row r="7" spans="1:38" ht="13.5" thickBot="1">
      <c r="C7" s="1607"/>
      <c r="D7" s="1607"/>
      <c r="F7" s="1694" t="s">
        <v>1947</v>
      </c>
      <c r="G7" s="1694"/>
      <c r="H7" s="1694"/>
      <c r="I7" s="1694"/>
      <c r="J7" s="1694"/>
      <c r="K7" s="1694"/>
      <c r="L7" s="1694"/>
      <c r="M7" s="1971" t="s">
        <v>2473</v>
      </c>
      <c r="N7" s="1972"/>
      <c r="O7" s="890" t="s">
        <v>2088</v>
      </c>
      <c r="R7" s="878"/>
      <c r="S7" s="879"/>
      <c r="T7" s="879"/>
      <c r="U7" s="879"/>
      <c r="V7" s="879"/>
      <c r="W7" s="879"/>
      <c r="X7" s="879"/>
      <c r="Y7" s="879"/>
      <c r="Z7" s="879"/>
      <c r="AA7" s="879"/>
      <c r="AB7" s="879"/>
      <c r="AC7" s="879"/>
      <c r="AD7" s="879"/>
      <c r="AE7" s="879"/>
      <c r="AF7" s="879"/>
      <c r="AG7" s="879"/>
      <c r="AH7" s="878"/>
      <c r="AI7" s="293" t="s">
        <v>742</v>
      </c>
    </row>
    <row r="8" spans="1:38" s="39" customFormat="1" ht="6" customHeight="1" thickTop="1">
      <c r="A8" s="1236"/>
      <c r="B8" s="1235"/>
      <c r="C8" s="1230"/>
      <c r="D8" s="1230"/>
      <c r="E8" s="778"/>
      <c r="F8" s="1235"/>
      <c r="G8" s="1235"/>
      <c r="H8" s="1235"/>
      <c r="I8" s="1235"/>
      <c r="J8" s="1235"/>
      <c r="K8" s="1235"/>
      <c r="L8" s="1235"/>
      <c r="M8" s="1577"/>
      <c r="N8" s="1578"/>
      <c r="O8" s="890"/>
      <c r="Q8" s="6"/>
      <c r="S8" s="886"/>
      <c r="T8" s="875"/>
      <c r="U8" s="875"/>
      <c r="V8" s="886"/>
      <c r="W8" s="886"/>
      <c r="X8" s="886"/>
      <c r="Y8" s="886"/>
      <c r="Z8" s="886"/>
      <c r="AA8" s="886"/>
      <c r="AB8" s="886"/>
      <c r="AC8" s="886"/>
      <c r="AD8" s="886"/>
      <c r="AE8" s="886"/>
      <c r="AF8" s="886"/>
      <c r="AG8" s="886"/>
      <c r="AL8" s="6"/>
    </row>
    <row r="9" spans="1:38" s="39" customFormat="1" ht="15" customHeight="1" thickBot="1">
      <c r="B9" s="656"/>
      <c r="C9" s="1607"/>
      <c r="D9" s="1607"/>
      <c r="F9" s="1960" t="s">
        <v>1948</v>
      </c>
      <c r="G9" s="1960"/>
      <c r="H9" s="1960"/>
      <c r="I9" s="1960"/>
      <c r="J9" s="1960"/>
      <c r="K9" s="1960"/>
      <c r="L9" s="1960"/>
      <c r="M9" s="1973" t="s">
        <v>1953</v>
      </c>
      <c r="N9" s="1974"/>
      <c r="O9" s="890" t="s">
        <v>2088</v>
      </c>
      <c r="Q9" s="6"/>
      <c r="S9" s="886"/>
      <c r="T9" s="875"/>
      <c r="U9" s="875"/>
      <c r="V9" s="886"/>
      <c r="W9" s="886"/>
      <c r="X9" s="886"/>
      <c r="Y9" s="886"/>
      <c r="Z9" s="886"/>
      <c r="AA9" s="886"/>
      <c r="AB9" s="886"/>
      <c r="AC9" s="886"/>
      <c r="AD9" s="886"/>
      <c r="AE9" s="886"/>
      <c r="AF9" s="886"/>
      <c r="AG9" s="886"/>
      <c r="AL9" s="6"/>
    </row>
    <row r="10" spans="1:38" s="39" customFormat="1" ht="6" customHeight="1" thickTop="1">
      <c r="A10" s="1236"/>
      <c r="B10" s="1235"/>
      <c r="C10" s="1230"/>
      <c r="D10" s="1230"/>
      <c r="E10" s="778"/>
      <c r="F10" s="1235"/>
      <c r="G10" s="1235"/>
      <c r="H10" s="1235"/>
      <c r="I10" s="1235"/>
      <c r="J10" s="1235"/>
      <c r="K10" s="1235"/>
      <c r="L10" s="1235"/>
      <c r="M10" s="1579"/>
      <c r="N10" s="1578"/>
      <c r="O10" s="890"/>
      <c r="Q10" s="6"/>
      <c r="S10" s="886"/>
      <c r="T10" s="875"/>
      <c r="U10" s="875"/>
      <c r="V10" s="886"/>
      <c r="W10" s="886"/>
      <c r="X10" s="886"/>
      <c r="Y10" s="886"/>
      <c r="Z10" s="886"/>
      <c r="AA10" s="886"/>
      <c r="AB10" s="886"/>
      <c r="AC10" s="886"/>
      <c r="AD10" s="886"/>
      <c r="AE10" s="886"/>
      <c r="AF10" s="886"/>
      <c r="AG10" s="886"/>
      <c r="AL10" s="6"/>
    </row>
    <row r="11" spans="1:38" s="39" customFormat="1" ht="26.1" customHeight="1" thickBot="1">
      <c r="B11" s="869"/>
      <c r="C11" s="1607"/>
      <c r="D11" s="1607"/>
      <c r="F11" s="1961" t="s">
        <v>1949</v>
      </c>
      <c r="G11" s="1961"/>
      <c r="H11" s="1961"/>
      <c r="I11" s="1961"/>
      <c r="J11" s="1961"/>
      <c r="K11" s="1961"/>
      <c r="L11" s="1961"/>
      <c r="M11" s="1975" t="s">
        <v>2474</v>
      </c>
      <c r="N11" s="1976"/>
      <c r="O11" s="890" t="s">
        <v>2091</v>
      </c>
      <c r="Q11" s="6"/>
      <c r="S11" s="886"/>
      <c r="T11" s="875"/>
      <c r="U11" s="875"/>
      <c r="V11" s="886"/>
      <c r="W11" s="886"/>
      <c r="X11" s="886"/>
      <c r="Y11" s="886"/>
      <c r="Z11" s="886"/>
      <c r="AA11" s="886"/>
      <c r="AB11" s="886"/>
      <c r="AC11" s="886"/>
      <c r="AD11" s="886"/>
      <c r="AE11" s="886"/>
      <c r="AF11" s="886"/>
      <c r="AG11" s="886"/>
      <c r="AL11" s="6"/>
    </row>
    <row r="12" spans="1:38" s="39" customFormat="1" ht="6" customHeight="1" thickTop="1">
      <c r="B12" s="656"/>
      <c r="C12" s="869"/>
      <c r="D12" s="869"/>
      <c r="E12" s="778"/>
      <c r="F12" s="656"/>
      <c r="G12" s="656"/>
      <c r="H12" s="656"/>
      <c r="I12" s="656"/>
      <c r="J12" s="656"/>
      <c r="K12" s="656"/>
      <c r="L12" s="656"/>
      <c r="M12" s="1579"/>
      <c r="N12" s="1578"/>
      <c r="O12" s="890"/>
      <c r="Q12" s="6"/>
      <c r="S12" s="886"/>
      <c r="T12" s="875"/>
      <c r="U12" s="875"/>
      <c r="V12" s="886"/>
      <c r="W12" s="886"/>
      <c r="X12" s="886"/>
      <c r="Y12" s="886"/>
      <c r="Z12" s="886"/>
      <c r="AA12" s="886"/>
      <c r="AB12" s="886"/>
      <c r="AC12" s="886"/>
      <c r="AD12" s="886"/>
      <c r="AE12" s="886"/>
      <c r="AF12" s="886"/>
      <c r="AG12" s="886"/>
      <c r="AL12" s="6"/>
    </row>
    <row r="13" spans="1:38" s="39" customFormat="1" ht="15" customHeight="1" thickBot="1">
      <c r="B13" s="656"/>
      <c r="C13" s="869"/>
      <c r="D13" s="869"/>
      <c r="F13" s="871" t="s">
        <v>1954</v>
      </c>
      <c r="G13" s="1605"/>
      <c r="H13" s="1605"/>
      <c r="I13" s="1605"/>
      <c r="J13" s="1605"/>
      <c r="K13" s="1605"/>
      <c r="L13" s="1605"/>
      <c r="M13" s="1349"/>
      <c r="N13" s="1578"/>
      <c r="O13" s="890"/>
      <c r="Q13" s="6"/>
      <c r="S13" s="886"/>
      <c r="T13" s="875"/>
      <c r="U13" s="875"/>
      <c r="V13" s="886"/>
      <c r="W13" s="886"/>
      <c r="X13" s="886"/>
      <c r="Y13" s="886"/>
      <c r="Z13" s="886"/>
      <c r="AA13" s="886"/>
      <c r="AB13" s="886"/>
      <c r="AC13" s="886"/>
      <c r="AD13" s="886"/>
      <c r="AE13" s="886"/>
      <c r="AF13" s="886"/>
      <c r="AG13" s="886"/>
      <c r="AL13" s="6"/>
    </row>
    <row r="14" spans="1:38" s="39" customFormat="1" ht="6" customHeight="1" thickTop="1">
      <c r="A14" s="1236"/>
      <c r="B14" s="1235"/>
      <c r="C14" s="1235"/>
      <c r="D14" s="1235"/>
      <c r="E14" s="1236"/>
      <c r="F14" s="1233"/>
      <c r="G14" s="1234"/>
      <c r="H14" s="1234"/>
      <c r="I14" s="1234"/>
      <c r="J14" s="1234"/>
      <c r="K14" s="1235"/>
      <c r="L14" s="1235"/>
      <c r="M14" s="1349"/>
      <c r="N14" s="1578"/>
      <c r="O14" s="890"/>
      <c r="Q14" s="6"/>
      <c r="S14" s="1004"/>
      <c r="T14" s="987"/>
      <c r="U14" s="987"/>
      <c r="V14" s="1004"/>
      <c r="W14" s="1004"/>
      <c r="X14" s="1004"/>
      <c r="Y14" s="1004"/>
      <c r="Z14" s="1004"/>
      <c r="AA14" s="1004"/>
      <c r="AB14" s="1004"/>
      <c r="AC14" s="1004"/>
      <c r="AD14" s="1004"/>
      <c r="AE14" s="1004"/>
      <c r="AF14" s="1004"/>
      <c r="AG14" s="1004"/>
      <c r="AL14" s="6"/>
    </row>
    <row r="15" spans="1:38" s="39" customFormat="1" ht="15" customHeight="1" thickBot="1">
      <c r="A15" s="437"/>
      <c r="B15" s="437"/>
      <c r="C15" s="437"/>
      <c r="D15" s="437"/>
      <c r="E15" s="437"/>
      <c r="F15" s="1503" t="s">
        <v>659</v>
      </c>
      <c r="G15" s="1503"/>
      <c r="H15" s="1503"/>
      <c r="I15" s="1503"/>
      <c r="J15" s="1936"/>
      <c r="K15" s="1936"/>
      <c r="L15" s="1936"/>
      <c r="M15" s="1349"/>
      <c r="N15" s="1578"/>
      <c r="O15" s="890"/>
      <c r="Q15" s="6"/>
      <c r="S15" s="1004"/>
      <c r="T15" s="987"/>
      <c r="U15" s="987"/>
      <c r="V15" s="1004"/>
      <c r="W15" s="1004"/>
      <c r="X15" s="1004"/>
      <c r="Y15" s="1004"/>
      <c r="Z15" s="1004"/>
      <c r="AA15" s="1004"/>
      <c r="AB15" s="1004"/>
      <c r="AC15" s="1004"/>
      <c r="AD15" s="1004"/>
      <c r="AE15" s="1004"/>
      <c r="AF15" s="1004"/>
      <c r="AG15" s="1004"/>
      <c r="AL15" s="6"/>
    </row>
    <row r="16" spans="1:38" s="39" customFormat="1" ht="6" customHeight="1" thickTop="1">
      <c r="B16" s="656"/>
      <c r="C16" s="869"/>
      <c r="D16" s="869"/>
      <c r="E16" s="778"/>
      <c r="F16" s="656"/>
      <c r="G16" s="656"/>
      <c r="H16" s="656"/>
      <c r="I16" s="656"/>
      <c r="J16" s="656"/>
      <c r="K16" s="656"/>
      <c r="L16" s="656"/>
      <c r="M16" s="1579"/>
      <c r="N16" s="1578"/>
      <c r="O16" s="890"/>
      <c r="Q16" s="6"/>
      <c r="S16" s="886"/>
      <c r="T16" s="875"/>
      <c r="U16" s="875"/>
      <c r="V16" s="886"/>
      <c r="W16" s="886"/>
      <c r="X16" s="886"/>
      <c r="Y16" s="886"/>
      <c r="Z16" s="886"/>
      <c r="AA16" s="886"/>
      <c r="AB16" s="886"/>
      <c r="AC16" s="886"/>
      <c r="AD16" s="886"/>
      <c r="AE16" s="886"/>
      <c r="AF16" s="886"/>
      <c r="AG16" s="886"/>
      <c r="AL16" s="6"/>
    </row>
    <row r="17" spans="2:38" s="39" customFormat="1" ht="15" customHeight="1" thickBot="1">
      <c r="B17" s="656"/>
      <c r="C17" s="1607"/>
      <c r="D17" s="1607"/>
      <c r="E17" s="873"/>
      <c r="F17" s="1694" t="s">
        <v>1950</v>
      </c>
      <c r="G17" s="1694"/>
      <c r="H17" s="1694"/>
      <c r="I17" s="1694"/>
      <c r="J17" s="1694"/>
      <c r="K17" s="1694"/>
      <c r="L17" s="1694"/>
      <c r="M17" s="1977" t="s">
        <v>2377</v>
      </c>
      <c r="N17" s="1978"/>
      <c r="O17" s="890" t="s">
        <v>2088</v>
      </c>
      <c r="Q17" s="6"/>
      <c r="S17" s="886"/>
      <c r="T17" s="875"/>
      <c r="U17" s="875"/>
      <c r="V17" s="886"/>
      <c r="W17" s="886"/>
      <c r="X17" s="886"/>
      <c r="Y17" s="886"/>
      <c r="Z17" s="886"/>
      <c r="AA17" s="886"/>
      <c r="AB17" s="886"/>
      <c r="AC17" s="886"/>
      <c r="AD17" s="886"/>
      <c r="AE17" s="886"/>
      <c r="AF17" s="886"/>
      <c r="AG17" s="886"/>
      <c r="AL17" s="6"/>
    </row>
    <row r="18" spans="2:38" s="39" customFormat="1" ht="6" customHeight="1" thickTop="1">
      <c r="B18" s="656"/>
      <c r="C18" s="869"/>
      <c r="D18" s="869"/>
      <c r="E18" s="778"/>
      <c r="F18" s="656"/>
      <c r="G18" s="656"/>
      <c r="H18" s="656"/>
      <c r="I18" s="656"/>
      <c r="J18" s="656"/>
      <c r="K18" s="656"/>
      <c r="L18" s="656"/>
      <c r="M18" s="1579"/>
      <c r="N18" s="1578"/>
      <c r="O18" s="890"/>
      <c r="Q18" s="6"/>
      <c r="S18" s="886"/>
      <c r="T18" s="875"/>
      <c r="U18" s="875"/>
      <c r="V18" s="886"/>
      <c r="W18" s="886"/>
      <c r="X18" s="886"/>
      <c r="Y18" s="886"/>
      <c r="Z18" s="886"/>
      <c r="AA18" s="886"/>
      <c r="AB18" s="886"/>
      <c r="AC18" s="886"/>
      <c r="AD18" s="886"/>
      <c r="AE18" s="886"/>
      <c r="AF18" s="886"/>
      <c r="AG18" s="886"/>
      <c r="AL18" s="6"/>
    </row>
    <row r="19" spans="2:38" s="39" customFormat="1" ht="15" customHeight="1" thickBot="1">
      <c r="B19" s="656"/>
      <c r="C19" s="1607"/>
      <c r="D19" s="1607"/>
      <c r="E19" s="873"/>
      <c r="F19" s="1694" t="s">
        <v>2727</v>
      </c>
      <c r="G19" s="1694"/>
      <c r="H19" s="1694"/>
      <c r="I19" s="1694"/>
      <c r="J19" s="1694"/>
      <c r="K19" s="1694"/>
      <c r="L19" s="1694"/>
      <c r="M19" s="1977" t="s">
        <v>1956</v>
      </c>
      <c r="N19" s="1978"/>
      <c r="O19" s="890" t="s">
        <v>2088</v>
      </c>
      <c r="Q19" s="6"/>
      <c r="S19" s="886"/>
      <c r="T19" s="875"/>
      <c r="U19" s="875"/>
      <c r="V19" s="886"/>
      <c r="W19" s="886"/>
      <c r="X19" s="886"/>
      <c r="Y19" s="886"/>
      <c r="Z19" s="886"/>
      <c r="AA19" s="886"/>
      <c r="AB19" s="886"/>
      <c r="AC19" s="886"/>
      <c r="AD19" s="886"/>
      <c r="AE19" s="886"/>
      <c r="AF19" s="886"/>
      <c r="AG19" s="886"/>
      <c r="AL19" s="6"/>
    </row>
    <row r="20" spans="2:38" s="39" customFormat="1" ht="6" customHeight="1" thickTop="1">
      <c r="B20" s="656"/>
      <c r="C20" s="869"/>
      <c r="D20" s="869"/>
      <c r="E20" s="778"/>
      <c r="F20" s="656"/>
      <c r="G20" s="656"/>
      <c r="H20" s="656"/>
      <c r="I20" s="656"/>
      <c r="J20" s="656"/>
      <c r="K20" s="656"/>
      <c r="L20" s="656"/>
      <c r="M20" s="1579"/>
      <c r="N20" s="1578"/>
      <c r="O20" s="890"/>
      <c r="Q20" s="6"/>
      <c r="S20" s="886"/>
      <c r="T20" s="875"/>
      <c r="U20" s="875"/>
      <c r="V20" s="886"/>
      <c r="W20" s="886"/>
      <c r="X20" s="886"/>
      <c r="Y20" s="886"/>
      <c r="Z20" s="886"/>
      <c r="AA20" s="886"/>
      <c r="AB20" s="886"/>
      <c r="AC20" s="886"/>
      <c r="AD20" s="886"/>
      <c r="AE20" s="886"/>
      <c r="AF20" s="886"/>
      <c r="AG20" s="886"/>
      <c r="AL20" s="6"/>
    </row>
    <row r="21" spans="2:38" s="39" customFormat="1" ht="15" customHeight="1" thickBot="1">
      <c r="B21" s="656"/>
      <c r="C21" s="1607"/>
      <c r="D21" s="1607"/>
      <c r="E21" s="873"/>
      <c r="F21" s="1694" t="s">
        <v>1951</v>
      </c>
      <c r="G21" s="1694"/>
      <c r="H21" s="1694"/>
      <c r="I21" s="1694"/>
      <c r="J21" s="1694"/>
      <c r="K21" s="1694"/>
      <c r="L21" s="1694"/>
      <c r="M21" s="1977" t="s">
        <v>1955</v>
      </c>
      <c r="N21" s="1978"/>
      <c r="O21" s="890" t="s">
        <v>2088</v>
      </c>
      <c r="Q21" s="6"/>
      <c r="S21" s="886"/>
      <c r="T21" s="875"/>
      <c r="U21" s="875"/>
      <c r="V21" s="886"/>
      <c r="W21" s="886"/>
      <c r="X21" s="886"/>
      <c r="Y21" s="886"/>
      <c r="Z21" s="886"/>
      <c r="AA21" s="886"/>
      <c r="AB21" s="886"/>
      <c r="AC21" s="886"/>
      <c r="AD21" s="886"/>
      <c r="AE21" s="886"/>
      <c r="AF21" s="886"/>
      <c r="AG21" s="886"/>
      <c r="AL21" s="6"/>
    </row>
    <row r="22" spans="2:38" ht="6" customHeight="1" thickTop="1">
      <c r="C22" s="26"/>
      <c r="D22" s="26"/>
      <c r="G22" s="21"/>
      <c r="H22" s="21"/>
      <c r="I22" s="21"/>
      <c r="J22" s="21"/>
      <c r="K22" s="21"/>
      <c r="L22" s="21"/>
      <c r="M22" s="1580"/>
      <c r="N22" s="1581"/>
      <c r="O22" s="1070"/>
      <c r="R22" s="878"/>
      <c r="S22" s="879"/>
      <c r="T22" s="882"/>
      <c r="U22" s="882"/>
      <c r="V22" s="879"/>
      <c r="W22" s="879"/>
      <c r="X22" s="885"/>
      <c r="Y22" s="885"/>
      <c r="Z22" s="885"/>
      <c r="AA22" s="885"/>
      <c r="AB22" s="885"/>
      <c r="AC22" s="885"/>
      <c r="AD22" s="885"/>
      <c r="AE22" s="885"/>
      <c r="AF22" s="885"/>
      <c r="AG22" s="885"/>
      <c r="AH22" s="878"/>
    </row>
    <row r="23" spans="2:38" ht="15" customHeight="1">
      <c r="B23" s="85" t="s">
        <v>54</v>
      </c>
      <c r="C23" s="1593" t="s">
        <v>195</v>
      </c>
      <c r="D23" s="1593"/>
      <c r="E23" s="1593"/>
      <c r="F23" s="1593"/>
      <c r="G23" s="1593"/>
      <c r="H23" s="1593"/>
      <c r="I23" s="1593"/>
      <c r="J23" s="1593"/>
      <c r="K23" s="1593"/>
      <c r="L23" s="1593"/>
      <c r="M23" s="1593"/>
      <c r="N23" s="1593"/>
      <c r="O23" s="1593"/>
      <c r="S23" s="85" t="s">
        <v>54</v>
      </c>
      <c r="T23" s="1593" t="s">
        <v>195</v>
      </c>
      <c r="U23" s="1593"/>
      <c r="V23" s="1593"/>
      <c r="W23" s="1593"/>
      <c r="X23" s="1593"/>
      <c r="Y23" s="1593"/>
      <c r="Z23" s="1593"/>
      <c r="AA23" s="1593"/>
      <c r="AB23" s="1593"/>
      <c r="AC23" s="1593"/>
      <c r="AD23" s="1593"/>
      <c r="AE23" s="1593"/>
      <c r="AF23" s="1593"/>
      <c r="AG23" s="1593"/>
    </row>
    <row r="24" spans="2:38" ht="12" customHeight="1" thickBot="1"/>
    <row r="25" spans="2:38" ht="15" customHeight="1" thickTop="1" thickBot="1">
      <c r="B25" s="85"/>
      <c r="J25" s="1780" t="s">
        <v>196</v>
      </c>
      <c r="K25" s="1939"/>
      <c r="L25" s="1939"/>
      <c r="M25" s="1939"/>
      <c r="N25" s="1939"/>
      <c r="O25" s="1940"/>
      <c r="S25" s="85"/>
      <c r="AA25" s="1780" t="s">
        <v>196</v>
      </c>
      <c r="AB25" s="1939"/>
      <c r="AC25" s="1939"/>
      <c r="AD25" s="1939"/>
      <c r="AE25" s="1939"/>
      <c r="AF25" s="1939"/>
      <c r="AG25" s="1940"/>
    </row>
    <row r="26" spans="2:38" ht="15" customHeight="1" thickTop="1" thickBot="1">
      <c r="C26" s="1613" t="s">
        <v>197</v>
      </c>
      <c r="D26" s="1614"/>
      <c r="E26" s="1614"/>
      <c r="F26" s="1615"/>
      <c r="G26" s="1389" t="s">
        <v>198</v>
      </c>
      <c r="H26" s="1395" t="s">
        <v>2475</v>
      </c>
      <c r="I26" s="45" t="s">
        <v>197</v>
      </c>
      <c r="J26" s="1780" t="s">
        <v>199</v>
      </c>
      <c r="K26" s="1939"/>
      <c r="L26" s="1939"/>
      <c r="M26" s="1939"/>
      <c r="N26" s="1939"/>
      <c r="O26" s="1940"/>
      <c r="T26" s="1613" t="s">
        <v>197</v>
      </c>
      <c r="U26" s="1614"/>
      <c r="V26" s="1614"/>
      <c r="W26" s="1615"/>
      <c r="X26" s="1613" t="s">
        <v>198</v>
      </c>
      <c r="Y26" s="1957"/>
      <c r="Z26" s="45" t="s">
        <v>197</v>
      </c>
      <c r="AA26" s="1780" t="s">
        <v>199</v>
      </c>
      <c r="AB26" s="1939"/>
      <c r="AC26" s="1939"/>
      <c r="AD26" s="1939"/>
      <c r="AE26" s="1939"/>
      <c r="AF26" s="1939"/>
      <c r="AG26" s="1940"/>
    </row>
    <row r="27" spans="2:38" ht="15" customHeight="1" thickTop="1" thickBot="1">
      <c r="C27" s="1629" t="s">
        <v>200</v>
      </c>
      <c r="D27" s="1634"/>
      <c r="E27" s="1634"/>
      <c r="F27" s="1630"/>
      <c r="G27" s="1390" t="s">
        <v>200</v>
      </c>
      <c r="H27" s="1396" t="s">
        <v>2476</v>
      </c>
      <c r="I27" s="50" t="s">
        <v>201</v>
      </c>
      <c r="J27" s="50" t="s">
        <v>116</v>
      </c>
      <c r="K27" s="1780" t="s">
        <v>117</v>
      </c>
      <c r="L27" s="1940"/>
      <c r="M27" s="50" t="s">
        <v>118</v>
      </c>
      <c r="N27" s="50" t="s">
        <v>119</v>
      </c>
      <c r="O27" s="887" t="s">
        <v>120</v>
      </c>
      <c r="T27" s="1629" t="s">
        <v>200</v>
      </c>
      <c r="U27" s="1634"/>
      <c r="V27" s="1634"/>
      <c r="W27" s="1630"/>
      <c r="X27" s="1629" t="s">
        <v>200</v>
      </c>
      <c r="Y27" s="1947"/>
      <c r="Z27" s="50" t="s">
        <v>201</v>
      </c>
      <c r="AA27" s="50" t="s">
        <v>116</v>
      </c>
      <c r="AB27" s="1780" t="s">
        <v>117</v>
      </c>
      <c r="AC27" s="1940"/>
      <c r="AD27" s="50" t="s">
        <v>118</v>
      </c>
      <c r="AE27" s="50" t="s">
        <v>119</v>
      </c>
      <c r="AF27" s="1780" t="s">
        <v>120</v>
      </c>
      <c r="AG27" s="1781"/>
    </row>
    <row r="28" spans="2:38" ht="17.45" customHeight="1" thickTop="1" thickBot="1">
      <c r="C28" s="1777" t="s">
        <v>202</v>
      </c>
      <c r="D28" s="1778"/>
      <c r="E28" s="1778"/>
      <c r="F28" s="1779"/>
      <c r="G28" s="1391"/>
      <c r="H28" s="204"/>
      <c r="I28" s="204"/>
      <c r="J28" s="295"/>
      <c r="K28" s="1958"/>
      <c r="L28" s="1959"/>
      <c r="M28" s="295"/>
      <c r="N28" s="295"/>
      <c r="O28" s="874"/>
      <c r="T28" s="1777" t="s">
        <v>202</v>
      </c>
      <c r="U28" s="1778"/>
      <c r="V28" s="1778"/>
      <c r="W28" s="1779"/>
      <c r="X28" s="1641"/>
      <c r="Y28" s="1643"/>
      <c r="Z28" s="296"/>
      <c r="AA28" s="297"/>
      <c r="AB28" s="1945"/>
      <c r="AC28" s="1946"/>
      <c r="AD28" s="297"/>
      <c r="AE28" s="297"/>
      <c r="AF28" s="1945"/>
      <c r="AG28" s="1946"/>
    </row>
    <row r="29" spans="2:38" ht="17.45" customHeight="1" thickTop="1" thickBot="1">
      <c r="C29" s="1777" t="s">
        <v>203</v>
      </c>
      <c r="D29" s="1778"/>
      <c r="E29" s="1778"/>
      <c r="F29" s="1779"/>
      <c r="G29" s="1391"/>
      <c r="H29" s="204"/>
      <c r="I29" s="204"/>
      <c r="J29" s="295"/>
      <c r="K29" s="1958"/>
      <c r="L29" s="1959"/>
      <c r="M29" s="295"/>
      <c r="N29" s="295"/>
      <c r="O29" s="874"/>
      <c r="T29" s="1777" t="s">
        <v>203</v>
      </c>
      <c r="U29" s="1778"/>
      <c r="V29" s="1778"/>
      <c r="W29" s="1779"/>
      <c r="X29" s="1641"/>
      <c r="Y29" s="1643"/>
      <c r="Z29" s="296"/>
      <c r="AA29" s="298"/>
      <c r="AB29" s="1945"/>
      <c r="AC29" s="1946"/>
      <c r="AD29" s="298"/>
      <c r="AE29" s="298"/>
      <c r="AF29" s="1945"/>
      <c r="AG29" s="1946"/>
    </row>
    <row r="30" spans="2:38" ht="17.45" customHeight="1" thickTop="1" thickBot="1">
      <c r="C30" s="1777" t="s">
        <v>2688</v>
      </c>
      <c r="D30" s="1778"/>
      <c r="E30" s="1778"/>
      <c r="F30" s="1779"/>
      <c r="G30" s="1391"/>
      <c r="H30" s="204"/>
      <c r="I30" s="204"/>
      <c r="J30" s="295"/>
      <c r="K30" s="1958"/>
      <c r="L30" s="1959"/>
      <c r="M30" s="295"/>
      <c r="N30" s="295"/>
      <c r="O30" s="874"/>
      <c r="T30" s="1777" t="s">
        <v>2688</v>
      </c>
      <c r="U30" s="1778"/>
      <c r="V30" s="1778"/>
      <c r="W30" s="1779"/>
      <c r="X30" s="1641"/>
      <c r="Y30" s="1643"/>
      <c r="Z30" s="296"/>
      <c r="AA30" s="298"/>
      <c r="AB30" s="1945"/>
      <c r="AC30" s="1946"/>
      <c r="AD30" s="298"/>
      <c r="AE30" s="298"/>
      <c r="AF30" s="1945"/>
      <c r="AG30" s="1946"/>
    </row>
    <row r="31" spans="2:38" s="1440" customFormat="1" ht="17.45" customHeight="1" thickTop="1" thickBot="1">
      <c r="B31" s="1437"/>
      <c r="C31" s="1777" t="s">
        <v>130</v>
      </c>
      <c r="D31" s="1778"/>
      <c r="E31" s="1778"/>
      <c r="F31" s="1779"/>
      <c r="G31" s="1445"/>
      <c r="H31" s="204"/>
      <c r="I31" s="204"/>
      <c r="J31" s="1448"/>
      <c r="K31" s="1958"/>
      <c r="L31" s="1959"/>
      <c r="M31" s="1448"/>
      <c r="N31" s="1448"/>
      <c r="O31" s="1448"/>
      <c r="Q31" s="6"/>
      <c r="S31" s="1437"/>
      <c r="T31" s="1777" t="s">
        <v>130</v>
      </c>
      <c r="U31" s="1778"/>
      <c r="V31" s="1778"/>
      <c r="W31" s="1779"/>
      <c r="X31" s="1443"/>
      <c r="Y31" s="1444"/>
      <c r="Z31" s="296"/>
      <c r="AA31" s="298"/>
      <c r="AB31" s="1446"/>
      <c r="AC31" s="1447"/>
      <c r="AD31" s="298"/>
      <c r="AE31" s="298"/>
      <c r="AF31" s="1446"/>
      <c r="AG31" s="1447"/>
      <c r="AL31" s="6"/>
    </row>
    <row r="32" spans="2:38" ht="17.45" customHeight="1" thickTop="1" thickBot="1">
      <c r="C32" s="1777" t="s">
        <v>2687</v>
      </c>
      <c r="D32" s="1778"/>
      <c r="E32" s="1778"/>
      <c r="F32" s="1779"/>
      <c r="G32" s="1391"/>
      <c r="H32" s="204"/>
      <c r="I32" s="204"/>
      <c r="J32" s="295"/>
      <c r="K32" s="1958"/>
      <c r="L32" s="1959"/>
      <c r="M32" s="295"/>
      <c r="N32" s="295"/>
      <c r="O32" s="874"/>
      <c r="T32" s="1777" t="s">
        <v>2687</v>
      </c>
      <c r="U32" s="1778"/>
      <c r="V32" s="1778"/>
      <c r="W32" s="1779"/>
      <c r="X32" s="1641"/>
      <c r="Y32" s="1643"/>
      <c r="Z32" s="296"/>
      <c r="AA32" s="298"/>
      <c r="AB32" s="1945"/>
      <c r="AC32" s="1946"/>
      <c r="AD32" s="298"/>
      <c r="AE32" s="298"/>
      <c r="AF32" s="1945"/>
      <c r="AG32" s="1946"/>
    </row>
    <row r="33" spans="1:38" ht="17.45" customHeight="1" thickTop="1" thickBot="1">
      <c r="C33" s="1777" t="s">
        <v>204</v>
      </c>
      <c r="D33" s="1778"/>
      <c r="E33" s="1778"/>
      <c r="F33" s="1779"/>
      <c r="G33" s="1391"/>
      <c r="H33" s="204"/>
      <c r="I33" s="204"/>
      <c r="J33" s="295"/>
      <c r="K33" s="1958"/>
      <c r="L33" s="1959"/>
      <c r="M33" s="295"/>
      <c r="N33" s="295"/>
      <c r="O33" s="874"/>
      <c r="T33" s="1777" t="s">
        <v>204</v>
      </c>
      <c r="U33" s="1778"/>
      <c r="V33" s="1778"/>
      <c r="W33" s="1779"/>
      <c r="X33" s="1641"/>
      <c r="Y33" s="1643"/>
      <c r="Z33" s="296"/>
      <c r="AA33" s="298"/>
      <c r="AB33" s="1945"/>
      <c r="AC33" s="1946"/>
      <c r="AD33" s="298"/>
      <c r="AE33" s="298"/>
      <c r="AF33" s="1945"/>
      <c r="AG33" s="1946"/>
    </row>
    <row r="34" spans="1:38" ht="17.45" customHeight="1" thickTop="1" thickBot="1">
      <c r="C34" s="1777" t="s">
        <v>205</v>
      </c>
      <c r="D34" s="1778"/>
      <c r="E34" s="1778"/>
      <c r="F34" s="1779"/>
      <c r="G34" s="1391"/>
      <c r="H34" s="204"/>
      <c r="I34" s="204"/>
      <c r="J34" s="295"/>
      <c r="K34" s="1958"/>
      <c r="L34" s="1959"/>
      <c r="M34" s="295"/>
      <c r="N34" s="295"/>
      <c r="O34" s="874"/>
      <c r="T34" s="1777" t="s">
        <v>205</v>
      </c>
      <c r="U34" s="1778"/>
      <c r="V34" s="1778"/>
      <c r="W34" s="1779"/>
      <c r="X34" s="1641"/>
      <c r="Y34" s="1643"/>
      <c r="Z34" s="296"/>
      <c r="AA34" s="298"/>
      <c r="AB34" s="1945"/>
      <c r="AC34" s="1946"/>
      <c r="AD34" s="298"/>
      <c r="AE34" s="298"/>
      <c r="AF34" s="1945"/>
      <c r="AG34" s="1946"/>
    </row>
    <row r="35" spans="1:38" ht="17.45" customHeight="1" thickTop="1" thickBot="1">
      <c r="C35" s="1777" t="s">
        <v>206</v>
      </c>
      <c r="D35" s="1778"/>
      <c r="E35" s="1778"/>
      <c r="F35" s="1779"/>
      <c r="G35" s="1391"/>
      <c r="H35" s="204"/>
      <c r="I35" s="204"/>
      <c r="J35" s="295"/>
      <c r="K35" s="1958"/>
      <c r="L35" s="1959"/>
      <c r="M35" s="295"/>
      <c r="N35" s="295"/>
      <c r="O35" s="874"/>
      <c r="T35" s="1777" t="s">
        <v>206</v>
      </c>
      <c r="U35" s="1778"/>
      <c r="V35" s="1778"/>
      <c r="W35" s="1779"/>
      <c r="X35" s="1641"/>
      <c r="Y35" s="1643"/>
      <c r="Z35" s="296"/>
      <c r="AA35" s="298"/>
      <c r="AB35" s="1945"/>
      <c r="AC35" s="1946"/>
      <c r="AD35" s="298"/>
      <c r="AE35" s="298"/>
      <c r="AF35" s="1945"/>
      <c r="AG35" s="1946"/>
    </row>
    <row r="36" spans="1:38" ht="17.45" customHeight="1" thickTop="1" thickBot="1">
      <c r="C36" s="1941" t="s">
        <v>207</v>
      </c>
      <c r="D36" s="1942"/>
      <c r="E36" s="1943"/>
      <c r="F36" s="1943"/>
      <c r="G36" s="1943"/>
      <c r="H36" s="1943"/>
      <c r="I36" s="1944"/>
      <c r="J36" s="299">
        <f>SUM(J28:J35)</f>
        <v>0</v>
      </c>
      <c r="K36" s="1979">
        <f>SUM(K28:L35)</f>
        <v>0</v>
      </c>
      <c r="L36" s="1980"/>
      <c r="M36" s="299">
        <f>SUM(M28:M35)</f>
        <v>0</v>
      </c>
      <c r="N36" s="299">
        <f>SUM(N28:N35)</f>
        <v>0</v>
      </c>
      <c r="O36" s="299">
        <f>SUM(O28:O35)</f>
        <v>0</v>
      </c>
      <c r="T36" s="1941" t="s">
        <v>207</v>
      </c>
      <c r="U36" s="1942"/>
      <c r="V36" s="1943"/>
      <c r="W36" s="1943"/>
      <c r="X36" s="1943"/>
      <c r="Y36" s="1943"/>
      <c r="Z36" s="1944"/>
      <c r="AA36" s="300">
        <f t="shared" ref="AA36:AF36" si="0">IF(J36="","",(J36))</f>
        <v>0</v>
      </c>
      <c r="AB36" s="1948">
        <f t="shared" si="0"/>
        <v>0</v>
      </c>
      <c r="AC36" s="1949" t="str">
        <f t="shared" si="0"/>
        <v/>
      </c>
      <c r="AD36" s="300">
        <f t="shared" si="0"/>
        <v>0</v>
      </c>
      <c r="AE36" s="300">
        <f t="shared" si="0"/>
        <v>0</v>
      </c>
      <c r="AF36" s="1948">
        <f t="shared" si="0"/>
        <v>0</v>
      </c>
      <c r="AG36" s="1949">
        <f>IF(O36="","",(O36))</f>
        <v>0</v>
      </c>
    </row>
    <row r="37" spans="1:38" ht="6" customHeight="1" thickTop="1"/>
    <row r="38" spans="1:38" ht="15" customHeight="1">
      <c r="A38" s="12" t="s">
        <v>243</v>
      </c>
      <c r="B38" s="1694" t="s">
        <v>666</v>
      </c>
      <c r="C38" s="1694"/>
      <c r="D38" s="1694"/>
      <c r="E38" s="1694"/>
      <c r="F38" s="1694"/>
      <c r="G38" s="1694"/>
      <c r="H38" s="1694"/>
      <c r="I38" s="1694"/>
      <c r="J38" s="1694"/>
      <c r="K38" s="1694"/>
      <c r="L38" s="1694"/>
      <c r="M38" s="1694"/>
      <c r="N38" s="1694"/>
      <c r="O38" s="1694"/>
      <c r="R38" s="12" t="s">
        <v>243</v>
      </c>
      <c r="S38" s="1694" t="s">
        <v>666</v>
      </c>
      <c r="T38" s="1694"/>
      <c r="U38" s="1694"/>
      <c r="V38" s="1694"/>
      <c r="W38" s="1694"/>
      <c r="X38" s="1694"/>
      <c r="Y38" s="1694"/>
      <c r="Z38" s="1694"/>
      <c r="AA38" s="1694"/>
      <c r="AB38" s="1694"/>
      <c r="AC38" s="1694"/>
      <c r="AD38" s="1694"/>
      <c r="AE38" s="1694"/>
      <c r="AF38" s="1694"/>
      <c r="AG38" s="1694"/>
    </row>
    <row r="39" spans="1:38" ht="12" customHeight="1"/>
    <row r="40" spans="1:38" s="202" customFormat="1" ht="15" customHeight="1" thickBot="1">
      <c r="B40" s="85" t="s">
        <v>53</v>
      </c>
      <c r="C40" s="1593" t="s">
        <v>2353</v>
      </c>
      <c r="D40" s="1593"/>
      <c r="E40" s="1593"/>
      <c r="F40" s="1593"/>
      <c r="G40" s="1593"/>
      <c r="H40" s="1593"/>
      <c r="I40" s="1593"/>
      <c r="J40" s="1593"/>
      <c r="K40" s="1593"/>
      <c r="L40" s="1593"/>
      <c r="M40" s="301"/>
      <c r="N40" s="37"/>
      <c r="O40" s="872"/>
      <c r="Q40" s="270"/>
      <c r="S40" s="85" t="s">
        <v>53</v>
      </c>
      <c r="T40" s="1593" t="s">
        <v>667</v>
      </c>
      <c r="U40" s="1593"/>
      <c r="V40" s="1593"/>
      <c r="W40" s="1593"/>
      <c r="X40" s="1593"/>
      <c r="Y40" s="1593"/>
      <c r="Z40" s="1593"/>
      <c r="AA40" s="1593"/>
      <c r="AB40" s="1593"/>
      <c r="AC40" s="1593"/>
      <c r="AD40" s="29" t="str">
        <f>IF(M40="","",(M40))</f>
        <v/>
      </c>
      <c r="AE40" s="37"/>
      <c r="AF40" s="37"/>
      <c r="AG40" s="37"/>
      <c r="AH40" s="37"/>
      <c r="AI40" s="37"/>
      <c r="AJ40" s="37"/>
      <c r="AK40" s="37"/>
      <c r="AL40" s="270"/>
    </row>
    <row r="41" spans="1:38" s="202" customFormat="1" ht="12.95" customHeight="1" thickTop="1">
      <c r="O41" s="872"/>
      <c r="Q41" s="270"/>
      <c r="AL41" s="270"/>
    </row>
    <row r="42" spans="1:38" s="202" customFormat="1" ht="15" customHeight="1">
      <c r="B42" s="85" t="s">
        <v>54</v>
      </c>
      <c r="C42" s="1593" t="s">
        <v>669</v>
      </c>
      <c r="D42" s="1593"/>
      <c r="E42" s="1593"/>
      <c r="F42" s="1593"/>
      <c r="G42" s="1593"/>
      <c r="H42" s="1593"/>
      <c r="I42" s="1593"/>
      <c r="J42" s="1593"/>
      <c r="K42" s="1593"/>
      <c r="L42" s="1593"/>
      <c r="M42" s="1593"/>
      <c r="N42" s="1593"/>
      <c r="O42" s="1593"/>
      <c r="Q42" s="270"/>
      <c r="S42" s="85" t="s">
        <v>54</v>
      </c>
      <c r="T42" s="1593" t="s">
        <v>669</v>
      </c>
      <c r="U42" s="1593"/>
      <c r="V42" s="1593"/>
      <c r="W42" s="1593"/>
      <c r="X42" s="1593"/>
      <c r="Y42" s="1593"/>
      <c r="Z42" s="1593"/>
      <c r="AA42" s="1593"/>
      <c r="AB42" s="1593"/>
      <c r="AC42" s="1593"/>
      <c r="AD42" s="1593"/>
      <c r="AE42" s="1593"/>
      <c r="AF42" s="1593"/>
      <c r="AG42" s="1593"/>
      <c r="AH42" s="37"/>
      <c r="AI42" s="37"/>
      <c r="AJ42" s="37"/>
      <c r="AK42" s="37"/>
      <c r="AL42" s="270"/>
    </row>
    <row r="43" spans="1:38" s="202" customFormat="1" ht="12.95" customHeight="1">
      <c r="O43" s="872"/>
      <c r="Q43" s="270"/>
      <c r="AL43" s="270"/>
    </row>
    <row r="44" spans="1:38" s="202" customFormat="1" ht="16.5" customHeight="1" thickBot="1">
      <c r="C44" s="1607"/>
      <c r="D44" s="1607"/>
      <c r="E44" s="1593" t="s">
        <v>670</v>
      </c>
      <c r="F44" s="1593"/>
      <c r="G44" s="1593"/>
      <c r="H44" s="1593"/>
      <c r="I44" s="1593"/>
      <c r="J44" s="1593"/>
      <c r="K44" s="1593"/>
      <c r="L44" s="1593"/>
      <c r="M44" s="1593"/>
      <c r="N44" s="1593"/>
      <c r="O44" s="1593"/>
      <c r="Q44" s="270"/>
      <c r="T44" s="1952" t="str">
        <f>IF(C44="","",(C44))</f>
        <v/>
      </c>
      <c r="U44" s="1952"/>
      <c r="V44" s="1593" t="s">
        <v>670</v>
      </c>
      <c r="W44" s="1593"/>
      <c r="X44" s="1593"/>
      <c r="Y44" s="1593"/>
      <c r="Z44" s="1593"/>
      <c r="AA44" s="1593"/>
      <c r="AB44" s="1593"/>
      <c r="AC44" s="1593"/>
      <c r="AD44" s="1593"/>
      <c r="AE44" s="1593"/>
      <c r="AF44" s="1593"/>
      <c r="AG44" s="1593"/>
      <c r="AL44" s="270"/>
    </row>
    <row r="45" spans="1:38" s="202" customFormat="1" ht="6" customHeight="1" thickTop="1">
      <c r="C45" s="26"/>
      <c r="D45" s="26"/>
      <c r="O45" s="872"/>
      <c r="Q45" s="270"/>
      <c r="T45" s="26"/>
      <c r="U45" s="26"/>
      <c r="AL45" s="270"/>
    </row>
    <row r="46" spans="1:38" s="202" customFormat="1" ht="16.5" customHeight="1" thickBot="1">
      <c r="C46" s="1607"/>
      <c r="D46" s="1607"/>
      <c r="E46" s="1593" t="s">
        <v>671</v>
      </c>
      <c r="F46" s="1593"/>
      <c r="G46" s="1593"/>
      <c r="H46" s="1593"/>
      <c r="I46" s="1593"/>
      <c r="J46" s="1593"/>
      <c r="K46" s="1593"/>
      <c r="L46" s="1593"/>
      <c r="M46" s="1593"/>
      <c r="N46" s="1593"/>
      <c r="O46" s="1593"/>
      <c r="Q46" s="270"/>
      <c r="T46" s="1952" t="str">
        <f>IF(C46="","",(C46))</f>
        <v/>
      </c>
      <c r="U46" s="1952"/>
      <c r="V46" s="1593" t="s">
        <v>671</v>
      </c>
      <c r="W46" s="1593"/>
      <c r="X46" s="1593"/>
      <c r="Y46" s="1593"/>
      <c r="Z46" s="1593"/>
      <c r="AA46" s="1593"/>
      <c r="AB46" s="1593"/>
      <c r="AC46" s="1593"/>
      <c r="AD46" s="1593"/>
      <c r="AE46" s="1593"/>
      <c r="AF46" s="1593"/>
      <c r="AG46" s="1593"/>
      <c r="AL46" s="270"/>
    </row>
    <row r="47" spans="1:38" s="202" customFormat="1" ht="6" customHeight="1" thickTop="1">
      <c r="C47" s="26"/>
      <c r="D47" s="26"/>
      <c r="O47" s="872"/>
      <c r="Q47" s="270"/>
      <c r="T47" s="26"/>
      <c r="U47" s="26"/>
      <c r="AL47" s="270"/>
    </row>
    <row r="48" spans="1:38" s="202" customFormat="1" ht="16.5" customHeight="1" thickBot="1">
      <c r="C48" s="1607"/>
      <c r="D48" s="1607"/>
      <c r="E48" s="1593" t="s">
        <v>2412</v>
      </c>
      <c r="F48" s="1593"/>
      <c r="G48" s="1593"/>
      <c r="H48" s="1593"/>
      <c r="I48" s="1593"/>
      <c r="J48" s="1593"/>
      <c r="K48" s="1593"/>
      <c r="L48" s="1593"/>
      <c r="M48" s="1593"/>
      <c r="N48" s="1593"/>
      <c r="O48" s="1593"/>
      <c r="Q48" s="270"/>
      <c r="T48" s="1952" t="str">
        <f>IF(C48="","",(C48))</f>
        <v/>
      </c>
      <c r="U48" s="1952"/>
      <c r="V48" s="1593" t="s">
        <v>170</v>
      </c>
      <c r="W48" s="1593"/>
      <c r="X48" s="1593"/>
      <c r="Y48" s="1593"/>
      <c r="Z48" s="1593"/>
      <c r="AA48" s="1593"/>
      <c r="AB48" s="1593"/>
      <c r="AC48" s="1593"/>
      <c r="AD48" s="1593"/>
      <c r="AE48" s="1593"/>
      <c r="AF48" s="1593"/>
      <c r="AG48" s="1593"/>
      <c r="AL48" s="270"/>
    </row>
    <row r="49" spans="2:38" s="202" customFormat="1" ht="6" customHeight="1" thickTop="1">
      <c r="C49" s="26"/>
      <c r="D49" s="26"/>
      <c r="O49" s="872"/>
      <c r="Q49" s="270"/>
      <c r="T49" s="26"/>
      <c r="U49" s="26"/>
      <c r="AL49" s="270"/>
    </row>
    <row r="50" spans="2:38" s="202" customFormat="1" ht="16.5" customHeight="1" thickBot="1">
      <c r="C50" s="1607"/>
      <c r="D50" s="1607"/>
      <c r="E50" s="1596" t="s">
        <v>171</v>
      </c>
      <c r="F50" s="1951"/>
      <c r="G50" s="1951"/>
      <c r="H50" s="1951"/>
      <c r="I50" s="1951"/>
      <c r="J50" s="1951"/>
      <c r="K50" s="1951"/>
      <c r="L50" s="1951"/>
      <c r="M50" s="1951"/>
      <c r="N50" s="1951"/>
      <c r="O50" s="1951"/>
      <c r="Q50" s="270"/>
      <c r="T50" s="1952" t="str">
        <f>IF(C50="","",(C50))</f>
        <v/>
      </c>
      <c r="U50" s="1952"/>
      <c r="V50" s="1596" t="s">
        <v>171</v>
      </c>
      <c r="W50" s="1951"/>
      <c r="X50" s="1951"/>
      <c r="Y50" s="1951"/>
      <c r="Z50" s="1951"/>
      <c r="AA50" s="1951"/>
      <c r="AB50" s="1951"/>
      <c r="AC50" s="1951"/>
      <c r="AD50" s="1951"/>
      <c r="AE50" s="1951"/>
      <c r="AF50" s="1951"/>
      <c r="AG50" s="1951"/>
      <c r="AL50" s="270"/>
    </row>
    <row r="51" spans="2:38" s="202" customFormat="1" ht="6" customHeight="1" thickTop="1">
      <c r="C51" s="26"/>
      <c r="D51" s="26"/>
      <c r="E51" s="21"/>
      <c r="F51" s="21"/>
      <c r="O51" s="872"/>
      <c r="Q51" s="270"/>
      <c r="T51" s="26"/>
      <c r="U51" s="26"/>
      <c r="V51" s="21"/>
      <c r="W51" s="21"/>
      <c r="AL51" s="270"/>
    </row>
    <row r="52" spans="2:38" s="202" customFormat="1" ht="16.5" customHeight="1" thickBot="1">
      <c r="C52" s="1607"/>
      <c r="D52" s="1607"/>
      <c r="E52" s="1596" t="s">
        <v>292</v>
      </c>
      <c r="F52" s="1951"/>
      <c r="G52" s="1951"/>
      <c r="H52" s="1951"/>
      <c r="I52" s="1951"/>
      <c r="J52" s="1951"/>
      <c r="K52" s="1951"/>
      <c r="L52" s="1951"/>
      <c r="M52" s="1951"/>
      <c r="N52" s="1951"/>
      <c r="O52" s="1951"/>
      <c r="Q52" s="270"/>
      <c r="T52" s="1952" t="str">
        <f>IF(C52="","",(C52))</f>
        <v/>
      </c>
      <c r="U52" s="1952"/>
      <c r="V52" s="1596" t="s">
        <v>292</v>
      </c>
      <c r="W52" s="1951"/>
      <c r="X52" s="1951"/>
      <c r="Y52" s="1951"/>
      <c r="Z52" s="1951"/>
      <c r="AA52" s="1951"/>
      <c r="AB52" s="1951"/>
      <c r="AC52" s="1951"/>
      <c r="AD52" s="1951"/>
      <c r="AE52" s="1951"/>
      <c r="AF52" s="1951"/>
      <c r="AG52" s="1951"/>
      <c r="AL52" s="270"/>
    </row>
    <row r="53" spans="2:38" s="202" customFormat="1" ht="6" customHeight="1" thickTop="1">
      <c r="C53" s="21"/>
      <c r="D53" s="21"/>
      <c r="E53" s="21"/>
      <c r="F53" s="21"/>
      <c r="H53" s="21"/>
      <c r="I53" s="21"/>
      <c r="J53" s="21"/>
      <c r="K53" s="21"/>
      <c r="L53" s="21"/>
      <c r="M53" s="21"/>
      <c r="O53" s="872"/>
      <c r="Q53" s="270"/>
      <c r="T53" s="21"/>
      <c r="U53" s="21"/>
      <c r="V53" s="21"/>
      <c r="W53" s="21"/>
      <c r="Y53" s="21"/>
      <c r="Z53" s="21"/>
      <c r="AA53" s="21"/>
      <c r="AB53" s="21"/>
      <c r="AC53" s="21"/>
      <c r="AD53" s="21"/>
      <c r="AL53" s="270"/>
    </row>
    <row r="54" spans="2:38" s="202" customFormat="1" ht="16.5" customHeight="1" thickBot="1">
      <c r="C54" s="1607"/>
      <c r="D54" s="1607"/>
      <c r="E54" s="1596" t="s">
        <v>137</v>
      </c>
      <c r="F54" s="1596"/>
      <c r="G54" s="1596"/>
      <c r="H54" s="1605"/>
      <c r="I54" s="1605"/>
      <c r="J54" s="1605"/>
      <c r="K54" s="1605"/>
      <c r="L54" s="1605"/>
      <c r="M54" s="21"/>
      <c r="O54" s="872"/>
      <c r="Q54" s="270"/>
      <c r="T54" s="1952" t="str">
        <f>IF(C54="","",(C54))</f>
        <v/>
      </c>
      <c r="U54" s="1952"/>
      <c r="V54" s="21" t="s">
        <v>137</v>
      </c>
      <c r="W54" s="21"/>
      <c r="Y54" s="1616"/>
      <c r="Z54" s="1616"/>
      <c r="AA54" s="1616"/>
      <c r="AB54" s="1616"/>
      <c r="AC54" s="1616"/>
      <c r="AD54" s="21"/>
      <c r="AL54" s="270"/>
    </row>
    <row r="55" spans="2:38" s="202" customFormat="1" ht="6" customHeight="1" thickTop="1">
      <c r="J55" s="21"/>
      <c r="K55" s="21"/>
      <c r="L55" s="21"/>
      <c r="M55" s="21"/>
      <c r="O55" s="872"/>
      <c r="Q55" s="270"/>
      <c r="AA55" s="21"/>
      <c r="AB55" s="21"/>
      <c r="AC55" s="21"/>
      <c r="AD55" s="21"/>
      <c r="AH55" s="24"/>
      <c r="AI55" s="24"/>
      <c r="AJ55" s="24"/>
      <c r="AK55" s="24"/>
      <c r="AL55" s="270"/>
    </row>
    <row r="56" spans="2:38" s="202" customFormat="1" ht="16.5" customHeight="1">
      <c r="B56" s="202" t="s">
        <v>55</v>
      </c>
      <c r="C56" s="1593" t="s">
        <v>2006</v>
      </c>
      <c r="D56" s="1593"/>
      <c r="E56" s="1593"/>
      <c r="F56" s="1593"/>
      <c r="G56" s="1593"/>
      <c r="H56" s="1593"/>
      <c r="I56" s="1593"/>
      <c r="J56" s="1593"/>
      <c r="K56" s="21"/>
      <c r="L56" s="21"/>
      <c r="O56" s="872"/>
      <c r="Q56" s="270"/>
      <c r="S56" s="202" t="s">
        <v>55</v>
      </c>
      <c r="T56" s="1593" t="s">
        <v>668</v>
      </c>
      <c r="U56" s="1593"/>
      <c r="V56" s="1593"/>
      <c r="W56" s="1593"/>
      <c r="X56" s="1593"/>
      <c r="Y56" s="1593"/>
      <c r="Z56" s="1593"/>
      <c r="AA56" s="1593"/>
      <c r="AB56" s="21"/>
      <c r="AC56" s="21"/>
      <c r="AL56" s="270"/>
    </row>
    <row r="57" spans="2:38" s="202" customFormat="1" ht="12" customHeight="1">
      <c r="J57" s="21"/>
      <c r="K57" s="21"/>
      <c r="L57" s="21"/>
      <c r="O57" s="872"/>
      <c r="Q57" s="270"/>
      <c r="AA57" s="21"/>
      <c r="AB57" s="21"/>
      <c r="AC57" s="21"/>
      <c r="AL57" s="270"/>
    </row>
    <row r="58" spans="2:38" s="995" customFormat="1" ht="16.5" customHeight="1" thickBot="1">
      <c r="C58" s="303">
        <v>1</v>
      </c>
      <c r="D58" s="1593" t="s">
        <v>2347</v>
      </c>
      <c r="E58" s="1593"/>
      <c r="F58" s="1593"/>
      <c r="G58" s="1593"/>
      <c r="H58" s="1593"/>
      <c r="I58" s="1593"/>
      <c r="J58" s="1593"/>
      <c r="K58" s="1593"/>
      <c r="L58" s="1593"/>
      <c r="M58" s="1593"/>
      <c r="N58" s="1122"/>
      <c r="O58" s="984"/>
      <c r="Q58" s="270"/>
      <c r="AA58" s="999"/>
      <c r="AB58" s="999"/>
      <c r="AC58" s="999"/>
      <c r="AL58" s="270"/>
    </row>
    <row r="59" spans="2:38" s="995" customFormat="1" ht="6" customHeight="1" thickTop="1">
      <c r="J59" s="999"/>
      <c r="K59" s="999"/>
      <c r="L59" s="999"/>
      <c r="O59" s="984"/>
      <c r="Q59" s="270"/>
      <c r="AA59" s="999"/>
      <c r="AB59" s="999"/>
      <c r="AC59" s="999"/>
      <c r="AL59" s="270"/>
    </row>
    <row r="60" spans="2:38" s="995" customFormat="1" ht="15" customHeight="1">
      <c r="C60" s="303">
        <v>2</v>
      </c>
      <c r="D60" s="1593" t="s">
        <v>2094</v>
      </c>
      <c r="E60" s="1593"/>
      <c r="F60" s="1593"/>
      <c r="G60" s="1593"/>
      <c r="H60" s="1593"/>
      <c r="I60" s="1593"/>
      <c r="J60" s="1593"/>
      <c r="K60" s="1593"/>
      <c r="L60" s="1593"/>
      <c r="M60" s="1593"/>
      <c r="N60" s="1593"/>
      <c r="O60" s="984"/>
      <c r="Q60" s="270"/>
      <c r="AA60" s="999"/>
      <c r="AB60" s="999"/>
      <c r="AC60" s="999"/>
      <c r="AL60" s="270"/>
    </row>
    <row r="61" spans="2:38" s="995" customFormat="1" ht="6" customHeight="1" thickBot="1">
      <c r="C61" s="303"/>
      <c r="K61" s="999"/>
      <c r="L61" s="999"/>
      <c r="O61" s="984"/>
      <c r="Q61" s="270"/>
      <c r="AA61" s="999"/>
      <c r="AB61" s="999"/>
      <c r="AC61" s="999"/>
      <c r="AL61" s="270"/>
    </row>
    <row r="62" spans="2:38" s="283" customFormat="1" ht="16.5" customHeight="1" thickTop="1" thickBot="1">
      <c r="B62" s="302"/>
      <c r="C62" s="303"/>
      <c r="D62" s="414" t="s">
        <v>63</v>
      </c>
      <c r="E62" s="1937" t="s">
        <v>2349</v>
      </c>
      <c r="F62" s="1937"/>
      <c r="G62" s="1937"/>
      <c r="H62" s="1937"/>
      <c r="I62" s="1937"/>
      <c r="J62" s="1937"/>
      <c r="K62" s="1937"/>
      <c r="L62" s="1937"/>
      <c r="M62" s="1938"/>
      <c r="N62" s="1201"/>
      <c r="O62" s="336"/>
      <c r="Q62" s="282"/>
      <c r="S62" s="302"/>
      <c r="T62" s="303">
        <v>1</v>
      </c>
      <c r="U62" s="1950" t="s">
        <v>674</v>
      </c>
      <c r="V62" s="1950"/>
      <c r="W62" s="1950"/>
      <c r="X62" s="1950"/>
      <c r="Y62" s="1950"/>
      <c r="Z62" s="1950"/>
      <c r="AA62" s="1950"/>
      <c r="AB62" s="1956" t="str">
        <f>IF(N62="","",(N62))</f>
        <v/>
      </c>
      <c r="AC62" s="1956"/>
      <c r="AD62" s="247"/>
      <c r="AE62" s="304"/>
      <c r="AF62" s="247"/>
      <c r="AG62" s="247"/>
      <c r="AL62" s="282"/>
    </row>
    <row r="63" spans="2:38" s="283" customFormat="1" ht="6" customHeight="1" thickTop="1" thickBot="1">
      <c r="B63" s="302"/>
      <c r="C63" s="303"/>
      <c r="D63" s="414"/>
      <c r="E63" s="998"/>
      <c r="F63" s="998"/>
      <c r="G63" s="998"/>
      <c r="H63" s="998"/>
      <c r="I63" s="998"/>
      <c r="J63" s="998"/>
      <c r="K63" s="247"/>
      <c r="L63" s="247"/>
      <c r="M63" s="247"/>
      <c r="N63" s="336"/>
      <c r="O63" s="336"/>
      <c r="Q63" s="282"/>
      <c r="S63" s="302"/>
      <c r="T63" s="303"/>
      <c r="AB63" s="247"/>
      <c r="AC63" s="247"/>
      <c r="AD63" s="247"/>
      <c r="AE63" s="304"/>
      <c r="AF63" s="247"/>
      <c r="AG63" s="247"/>
      <c r="AL63" s="282"/>
    </row>
    <row r="64" spans="2:38" s="1051" customFormat="1" ht="16.5" customHeight="1" thickTop="1" thickBot="1">
      <c r="B64" s="302"/>
      <c r="C64" s="303"/>
      <c r="D64" s="414" t="s">
        <v>64</v>
      </c>
      <c r="E64" s="1937" t="s">
        <v>2348</v>
      </c>
      <c r="F64" s="1937"/>
      <c r="G64" s="1937"/>
      <c r="H64" s="1937"/>
      <c r="I64" s="1937"/>
      <c r="J64" s="1937"/>
      <c r="K64" s="1937"/>
      <c r="L64" s="1937"/>
      <c r="M64" s="1938"/>
      <c r="N64" s="311" t="str">
        <f>IF(ISERROR(N62/'FORM 1040-2'!C42),"",N62/'FORM 1040-2'!C42)</f>
        <v/>
      </c>
      <c r="O64" s="336"/>
      <c r="Q64" s="282"/>
      <c r="S64" s="302"/>
      <c r="T64" s="303"/>
      <c r="AB64" s="247"/>
      <c r="AC64" s="247"/>
      <c r="AD64" s="247"/>
      <c r="AE64" s="304"/>
      <c r="AF64" s="247"/>
      <c r="AG64" s="247"/>
      <c r="AL64" s="282"/>
    </row>
    <row r="65" spans="2:38" s="1051" customFormat="1" ht="6" customHeight="1" thickTop="1" thickBot="1">
      <c r="B65" s="302"/>
      <c r="C65" s="303"/>
      <c r="D65" s="414"/>
      <c r="K65" s="247"/>
      <c r="L65" s="247"/>
      <c r="M65" s="247"/>
      <c r="N65" s="336"/>
      <c r="O65" s="336"/>
      <c r="Q65" s="282"/>
      <c r="S65" s="302"/>
      <c r="T65" s="303"/>
      <c r="AB65" s="247"/>
      <c r="AC65" s="247"/>
      <c r="AD65" s="247"/>
      <c r="AE65" s="304"/>
      <c r="AF65" s="247"/>
      <c r="AG65" s="247"/>
      <c r="AL65" s="282"/>
    </row>
    <row r="66" spans="2:38" s="283" customFormat="1" ht="16.5" customHeight="1" thickTop="1" thickBot="1">
      <c r="B66" s="302"/>
      <c r="C66" s="303"/>
      <c r="D66" s="414" t="s">
        <v>67</v>
      </c>
      <c r="E66" s="1937" t="s">
        <v>2350</v>
      </c>
      <c r="F66" s="1937"/>
      <c r="G66" s="1937"/>
      <c r="H66" s="1937"/>
      <c r="I66" s="1937"/>
      <c r="J66" s="1937"/>
      <c r="K66" s="1937"/>
      <c r="L66" s="1937"/>
      <c r="M66" s="1938"/>
      <c r="N66" s="1202"/>
      <c r="O66" s="336"/>
      <c r="Q66" s="282"/>
      <c r="S66" s="302"/>
      <c r="T66" s="303">
        <v>2</v>
      </c>
      <c r="U66" s="1950" t="s">
        <v>675</v>
      </c>
      <c r="V66" s="1950"/>
      <c r="W66" s="1950"/>
      <c r="X66" s="1950"/>
      <c r="Y66" s="1950"/>
      <c r="Z66" s="1950"/>
      <c r="AA66" s="1950"/>
      <c r="AB66" s="1955" t="str">
        <f>IF(N66="","",(N66))</f>
        <v/>
      </c>
      <c r="AC66" s="1955"/>
      <c r="AD66" s="304"/>
      <c r="AE66" s="304"/>
      <c r="AF66" s="247"/>
      <c r="AG66" s="247"/>
      <c r="AL66" s="282"/>
    </row>
    <row r="67" spans="2:38" s="283" customFormat="1" ht="6" customHeight="1" thickTop="1" thickBot="1">
      <c r="B67" s="302"/>
      <c r="C67" s="303"/>
      <c r="D67" s="414"/>
      <c r="E67" s="998"/>
      <c r="F67" s="998"/>
      <c r="G67" s="998"/>
      <c r="H67" s="998"/>
      <c r="I67" s="998"/>
      <c r="J67" s="998"/>
      <c r="K67" s="247"/>
      <c r="L67" s="247"/>
      <c r="M67" s="304"/>
      <c r="N67" s="336"/>
      <c r="O67" s="336"/>
      <c r="Q67" s="282"/>
      <c r="S67" s="302"/>
      <c r="T67" s="303"/>
      <c r="AB67" s="247"/>
      <c r="AC67" s="247"/>
      <c r="AD67" s="304"/>
      <c r="AE67" s="304"/>
      <c r="AF67" s="247"/>
      <c r="AG67" s="247"/>
      <c r="AL67" s="282"/>
    </row>
    <row r="68" spans="2:38" s="283" customFormat="1" ht="16.5" customHeight="1" thickTop="1" thickBot="1">
      <c r="B68" s="302"/>
      <c r="C68" s="303"/>
      <c r="D68" s="414" t="s">
        <v>92</v>
      </c>
      <c r="E68" s="1937" t="s">
        <v>2351</v>
      </c>
      <c r="F68" s="1937"/>
      <c r="G68" s="1937"/>
      <c r="H68" s="1937"/>
      <c r="I68" s="1937"/>
      <c r="J68" s="1937"/>
      <c r="K68" s="1937"/>
      <c r="L68" s="1937"/>
      <c r="M68" s="1938"/>
      <c r="N68" s="1859"/>
      <c r="O68" s="1860"/>
      <c r="Q68" s="282"/>
      <c r="S68" s="302"/>
      <c r="T68" s="303">
        <v>3</v>
      </c>
      <c r="U68" s="1950" t="s">
        <v>672</v>
      </c>
      <c r="V68" s="1950"/>
      <c r="W68" s="1950"/>
      <c r="X68" s="1950"/>
      <c r="Y68" s="1950"/>
      <c r="Z68" s="1950"/>
      <c r="AA68" s="1950"/>
      <c r="AB68" s="1954" t="str">
        <f>IF(N68="","",(N68))</f>
        <v/>
      </c>
      <c r="AC68" s="1954"/>
      <c r="AD68" s="304"/>
      <c r="AE68" s="304"/>
      <c r="AF68" s="247"/>
      <c r="AG68" s="247"/>
      <c r="AL68" s="282"/>
    </row>
    <row r="69" spans="2:38" s="283" customFormat="1" ht="6" customHeight="1" thickTop="1">
      <c r="B69" s="302"/>
      <c r="C69" s="303"/>
      <c r="D69" s="414"/>
      <c r="E69" s="998"/>
      <c r="F69" s="998"/>
      <c r="G69" s="998"/>
      <c r="H69" s="998"/>
      <c r="I69" s="998"/>
      <c r="J69" s="998"/>
      <c r="K69" s="247"/>
      <c r="L69" s="247"/>
      <c r="M69" s="304"/>
      <c r="N69" s="336"/>
      <c r="O69" s="336"/>
      <c r="Q69" s="282"/>
      <c r="S69" s="302"/>
      <c r="T69" s="303"/>
      <c r="AB69" s="247"/>
      <c r="AC69" s="247"/>
      <c r="AD69" s="304"/>
      <c r="AE69" s="304"/>
      <c r="AF69" s="247"/>
      <c r="AG69" s="247"/>
      <c r="AL69" s="282"/>
    </row>
    <row r="70" spans="2:38" s="283" customFormat="1" ht="18" customHeight="1" thickBot="1">
      <c r="B70" s="302"/>
      <c r="C70" s="303"/>
      <c r="D70" s="414" t="s">
        <v>93</v>
      </c>
      <c r="E70" s="1937" t="s">
        <v>2352</v>
      </c>
      <c r="F70" s="1937"/>
      <c r="G70" s="1937"/>
      <c r="H70" s="1937"/>
      <c r="I70" s="1937"/>
      <c r="J70" s="1937"/>
      <c r="K70" s="1937"/>
      <c r="L70" s="1937"/>
      <c r="M70" s="1937"/>
      <c r="N70" s="1123"/>
      <c r="O70" s="336"/>
      <c r="Q70" s="282"/>
      <c r="S70" s="302"/>
      <c r="T70" s="303">
        <v>4</v>
      </c>
      <c r="U70" s="1950" t="s">
        <v>673</v>
      </c>
      <c r="V70" s="1950"/>
      <c r="W70" s="1950"/>
      <c r="X70" s="1950"/>
      <c r="Y70" s="1950"/>
      <c r="Z70" s="1950"/>
      <c r="AA70" s="1950"/>
      <c r="AB70" s="1953"/>
      <c r="AC70" s="1953"/>
      <c r="AD70" s="304"/>
      <c r="AE70" s="304"/>
      <c r="AF70" s="247"/>
      <c r="AG70" s="247"/>
      <c r="AL70" s="282"/>
    </row>
    <row r="71" spans="2:38" s="283" customFormat="1" ht="18" customHeight="1" thickTop="1">
      <c r="B71" s="302"/>
      <c r="C71" s="28"/>
      <c r="D71" s="28"/>
      <c r="E71" s="28"/>
      <c r="F71" s="305"/>
      <c r="G71" s="236"/>
      <c r="H71" s="236"/>
      <c r="I71" s="304"/>
      <c r="J71" s="304"/>
      <c r="K71" s="247"/>
      <c r="L71" s="247"/>
      <c r="M71" s="304"/>
      <c r="N71" s="304"/>
      <c r="O71" s="336"/>
      <c r="Q71" s="282"/>
      <c r="S71" s="302"/>
      <c r="T71" s="28"/>
      <c r="U71" s="28"/>
      <c r="V71" s="28"/>
      <c r="W71" s="305"/>
      <c r="X71" s="236"/>
      <c r="Y71" s="236"/>
      <c r="Z71" s="304"/>
      <c r="AA71" s="304"/>
      <c r="AB71" s="247"/>
      <c r="AC71" s="247"/>
      <c r="AD71" s="304"/>
      <c r="AE71" s="304"/>
      <c r="AF71" s="247"/>
      <c r="AG71" s="247"/>
      <c r="AL71" s="282"/>
    </row>
    <row r="72" spans="2:38" s="283" customFormat="1" ht="18" customHeight="1">
      <c r="B72" s="302"/>
      <c r="C72" s="28"/>
      <c r="D72" s="28"/>
      <c r="E72" s="28"/>
      <c r="F72" s="305"/>
      <c r="G72" s="236"/>
      <c r="H72" s="236"/>
      <c r="I72" s="304"/>
      <c r="J72" s="304"/>
      <c r="K72" s="247"/>
      <c r="L72" s="247"/>
      <c r="M72" s="304"/>
      <c r="N72" s="304"/>
      <c r="O72" s="336"/>
      <c r="Q72" s="282"/>
      <c r="S72" s="302"/>
      <c r="T72" s="28"/>
      <c r="U72" s="28"/>
      <c r="V72" s="28"/>
      <c r="W72" s="305"/>
      <c r="X72" s="236"/>
      <c r="Y72" s="236"/>
      <c r="Z72" s="304"/>
      <c r="AA72" s="304"/>
      <c r="AB72" s="247"/>
      <c r="AC72" s="247"/>
      <c r="AD72" s="304"/>
      <c r="AE72" s="304"/>
      <c r="AF72" s="247"/>
      <c r="AG72" s="247"/>
      <c r="AL72" s="282"/>
    </row>
    <row r="73" spans="2:38" s="283" customFormat="1" ht="18" customHeight="1">
      <c r="B73" s="302"/>
      <c r="C73" s="28"/>
      <c r="D73" s="28"/>
      <c r="E73" s="28"/>
      <c r="F73" s="305"/>
      <c r="G73" s="236"/>
      <c r="H73" s="236"/>
      <c r="I73" s="304"/>
      <c r="J73" s="304"/>
      <c r="K73" s="247"/>
      <c r="L73" s="247"/>
      <c r="M73" s="304"/>
      <c r="N73" s="304"/>
      <c r="O73" s="336"/>
      <c r="Q73" s="282"/>
      <c r="S73" s="302"/>
      <c r="T73" s="28"/>
      <c r="U73" s="28"/>
      <c r="V73" s="28"/>
      <c r="W73" s="305"/>
      <c r="X73" s="236"/>
      <c r="Y73" s="236"/>
      <c r="Z73" s="304"/>
      <c r="AA73" s="304"/>
      <c r="AB73" s="247"/>
      <c r="AC73" s="247"/>
      <c r="AD73" s="304"/>
      <c r="AE73" s="304"/>
      <c r="AF73" s="247"/>
      <c r="AG73" s="247"/>
      <c r="AL73" s="282"/>
    </row>
    <row r="74" spans="2:38" s="283" customFormat="1" ht="18" customHeight="1">
      <c r="B74" s="302"/>
      <c r="C74" s="28"/>
      <c r="D74" s="28"/>
      <c r="E74" s="28"/>
      <c r="F74" s="305"/>
      <c r="G74" s="236"/>
      <c r="H74" s="236"/>
      <c r="I74" s="304"/>
      <c r="J74" s="304"/>
      <c r="K74" s="247"/>
      <c r="L74" s="247"/>
      <c r="M74" s="304"/>
      <c r="N74" s="304"/>
      <c r="O74" s="336"/>
      <c r="Q74" s="282"/>
      <c r="S74" s="302"/>
      <c r="T74" s="28"/>
      <c r="U74" s="28"/>
      <c r="V74" s="28"/>
      <c r="W74" s="305"/>
      <c r="X74" s="236"/>
      <c r="Y74" s="236"/>
      <c r="Z74" s="304"/>
      <c r="AA74" s="304"/>
      <c r="AB74" s="247"/>
      <c r="AC74" s="247"/>
      <c r="AD74" s="304"/>
      <c r="AE74" s="304"/>
      <c r="AF74" s="247"/>
      <c r="AG74" s="247"/>
      <c r="AL74" s="282"/>
    </row>
    <row r="75" spans="2:38" s="283" customFormat="1" ht="27" customHeight="1">
      <c r="C75" s="306"/>
      <c r="D75" s="306"/>
      <c r="E75" s="306"/>
      <c r="F75" s="307"/>
      <c r="G75" s="236"/>
      <c r="H75" s="236"/>
      <c r="O75" s="870"/>
      <c r="Q75" s="282"/>
      <c r="T75" s="306"/>
      <c r="U75" s="306"/>
      <c r="V75" s="306"/>
      <c r="W75" s="307"/>
      <c r="X75" s="236"/>
      <c r="Y75" s="236"/>
      <c r="AL75" s="282"/>
    </row>
    <row r="78" spans="2:38" ht="15.95" customHeight="1"/>
  </sheetData>
  <sheetProtection algorithmName="SHA-512" hashValue="pLZmv51LNEzuD9duBGD+UZ5sxmHGfF1UVNtHS9frYJxwH5To1p4Loqa7lQfgwjDaKVbMjdKVZlPWNkHyqymiwg==" saltValue="hWTDp8u1UCBKqesY2Hgy6w==" spinCount="100000" sheet="1" objects="1" scenarios="1"/>
  <mergeCells count="138">
    <mergeCell ref="D58:M58"/>
    <mergeCell ref="C40:L40"/>
    <mergeCell ref="K35:L35"/>
    <mergeCell ref="C32:F32"/>
    <mergeCell ref="K32:L32"/>
    <mergeCell ref="C33:F33"/>
    <mergeCell ref="K33:L33"/>
    <mergeCell ref="C34:F34"/>
    <mergeCell ref="K34:L34"/>
    <mergeCell ref="K36:L36"/>
    <mergeCell ref="B38:O38"/>
    <mergeCell ref="C35:F35"/>
    <mergeCell ref="C56:J56"/>
    <mergeCell ref="E54:G54"/>
    <mergeCell ref="C48:D48"/>
    <mergeCell ref="E48:O48"/>
    <mergeCell ref="C50:D50"/>
    <mergeCell ref="E50:O50"/>
    <mergeCell ref="C52:D52"/>
    <mergeCell ref="E52:O52"/>
    <mergeCell ref="F7:L7"/>
    <mergeCell ref="F9:L9"/>
    <mergeCell ref="F11:L11"/>
    <mergeCell ref="F17:L17"/>
    <mergeCell ref="F19:L19"/>
    <mergeCell ref="F21:L21"/>
    <mergeCell ref="C31:F31"/>
    <mergeCell ref="O3:O5"/>
    <mergeCell ref="C7:D7"/>
    <mergeCell ref="C9:D9"/>
    <mergeCell ref="C11:D11"/>
    <mergeCell ref="B3:L3"/>
    <mergeCell ref="C5:L5"/>
    <mergeCell ref="K31:L31"/>
    <mergeCell ref="M3:N5"/>
    <mergeCell ref="M7:N7"/>
    <mergeCell ref="M9:N9"/>
    <mergeCell ref="M11:N11"/>
    <mergeCell ref="M17:N17"/>
    <mergeCell ref="M19:N19"/>
    <mergeCell ref="M21:N21"/>
    <mergeCell ref="T23:AG23"/>
    <mergeCell ref="AA25:AG25"/>
    <mergeCell ref="X26:Y26"/>
    <mergeCell ref="K29:L29"/>
    <mergeCell ref="C30:F30"/>
    <mergeCell ref="K30:L30"/>
    <mergeCell ref="C27:F27"/>
    <mergeCell ref="K27:L27"/>
    <mergeCell ref="C28:F28"/>
    <mergeCell ref="K28:L28"/>
    <mergeCell ref="AA26:AG26"/>
    <mergeCell ref="T26:W26"/>
    <mergeCell ref="T27:W27"/>
    <mergeCell ref="T28:W28"/>
    <mergeCell ref="T30:W30"/>
    <mergeCell ref="C29:F29"/>
    <mergeCell ref="X28:Y28"/>
    <mergeCell ref="U70:AA70"/>
    <mergeCell ref="T56:AA56"/>
    <mergeCell ref="V44:AG44"/>
    <mergeCell ref="V46:AG46"/>
    <mergeCell ref="V48:AG48"/>
    <mergeCell ref="V50:AG50"/>
    <mergeCell ref="V52:AG52"/>
    <mergeCell ref="Y54:AC54"/>
    <mergeCell ref="T44:U44"/>
    <mergeCell ref="T52:U52"/>
    <mergeCell ref="T54:U54"/>
    <mergeCell ref="AB70:AC70"/>
    <mergeCell ref="AB68:AC68"/>
    <mergeCell ref="AB66:AC66"/>
    <mergeCell ref="U62:AA62"/>
    <mergeCell ref="AB62:AC62"/>
    <mergeCell ref="U68:AA68"/>
    <mergeCell ref="T50:U50"/>
    <mergeCell ref="T48:U48"/>
    <mergeCell ref="T46:U46"/>
    <mergeCell ref="U66:AA66"/>
    <mergeCell ref="AB36:AC36"/>
    <mergeCell ref="AF36:AG36"/>
    <mergeCell ref="T35:W35"/>
    <mergeCell ref="X33:Y33"/>
    <mergeCell ref="AB33:AC33"/>
    <mergeCell ref="AF33:AG33"/>
    <mergeCell ref="X34:Y34"/>
    <mergeCell ref="AB34:AC34"/>
    <mergeCell ref="AF34:AG34"/>
    <mergeCell ref="T33:W33"/>
    <mergeCell ref="T34:W34"/>
    <mergeCell ref="T40:AC40"/>
    <mergeCell ref="T42:AG42"/>
    <mergeCell ref="AB28:AC28"/>
    <mergeCell ref="AF28:AG28"/>
    <mergeCell ref="X29:Y29"/>
    <mergeCell ref="AB29:AC29"/>
    <mergeCell ref="AF29:AG29"/>
    <mergeCell ref="X27:Y27"/>
    <mergeCell ref="AB27:AC27"/>
    <mergeCell ref="AF27:AG27"/>
    <mergeCell ref="T32:W32"/>
    <mergeCell ref="X32:Y32"/>
    <mergeCell ref="AB32:AC32"/>
    <mergeCell ref="AF32:AG32"/>
    <mergeCell ref="X30:Y30"/>
    <mergeCell ref="AB30:AC30"/>
    <mergeCell ref="AF30:AG30"/>
    <mergeCell ref="T29:W29"/>
    <mergeCell ref="S38:AG38"/>
    <mergeCell ref="T31:W31"/>
    <mergeCell ref="X35:Y35"/>
    <mergeCell ref="AB35:AC35"/>
    <mergeCell ref="AF35:AG35"/>
    <mergeCell ref="T36:Z36"/>
    <mergeCell ref="N68:O68"/>
    <mergeCell ref="J15:L15"/>
    <mergeCell ref="G13:L13"/>
    <mergeCell ref="E64:M64"/>
    <mergeCell ref="E66:M66"/>
    <mergeCell ref="E68:M68"/>
    <mergeCell ref="E70:M70"/>
    <mergeCell ref="C23:O23"/>
    <mergeCell ref="J25:O25"/>
    <mergeCell ref="C26:F26"/>
    <mergeCell ref="J26:O26"/>
    <mergeCell ref="C17:D17"/>
    <mergeCell ref="C19:D19"/>
    <mergeCell ref="C21:D21"/>
    <mergeCell ref="C42:O42"/>
    <mergeCell ref="C44:D44"/>
    <mergeCell ref="E44:O44"/>
    <mergeCell ref="C46:D46"/>
    <mergeCell ref="E46:O46"/>
    <mergeCell ref="C36:I36"/>
    <mergeCell ref="D60:N60"/>
    <mergeCell ref="E62:M62"/>
    <mergeCell ref="C54:D54"/>
    <mergeCell ref="H54:L54"/>
  </mergeCells>
  <dataValidations count="8">
    <dataValidation type="list" allowBlank="1" showInputMessage="1" showErrorMessage="1" sqref="AB70:AC70 C21:D21 C19:D19 C17:D17 T8:U21 C7:D11 N58 N70 M40" xr:uid="{00000000-0002-0000-1100-000000000000}">
      <formula1>$AJ$3:$AJ$4</formula1>
    </dataValidation>
    <dataValidation type="list" allowBlank="1" showInputMessage="1" showErrorMessage="1" sqref="I28:I35 Z28:Z35" xr:uid="{00000000-0002-0000-1100-000001000000}">
      <formula1>$AK$3:$AK$4</formula1>
    </dataValidation>
    <dataValidation type="list" showInputMessage="1" showErrorMessage="1" sqref="C52:D52 C54:D54 C50:D50 C48:D48 C46:D46 C44:D44" xr:uid="{00000000-0002-0000-1100-000002000000}">
      <formula1>$AJ$3:$AJ$4</formula1>
    </dataValidation>
    <dataValidation allowBlank="1" showInputMessage="1" showErrorMessage="1" sqref="T44:U44 T46:U46 T48:U48 T50:U50 T52:U52 T54:U54" xr:uid="{00000000-0002-0000-1100-000004000000}"/>
    <dataValidation type="date" operator="greaterThan" allowBlank="1" showInputMessage="1" showErrorMessage="1" error="Enter valid date" sqref="N68" xr:uid="{00000000-0002-0000-1100-000005000000}">
      <formula1>41274</formula1>
    </dataValidation>
    <dataValidation type="decimal" allowBlank="1" showInputMessage="1" showErrorMessage="1" error="Enter number of years, not text here." sqref="N66" xr:uid="{00000000-0002-0000-1100-000006000000}">
      <formula1>0.25</formula1>
      <formula2>500</formula2>
    </dataValidation>
    <dataValidation type="whole" allowBlank="1" showInputMessage="1" showErrorMessage="1" error="Enter number of units, not text here." sqref="N62" xr:uid="{00000000-0002-0000-1100-000007000000}">
      <formula1>0</formula1>
      <formula2>5000</formula2>
    </dataValidation>
    <dataValidation type="list" allowBlank="1" showInputMessage="1" showErrorMessage="1" sqref="G28:G35" xr:uid="{00000000-0002-0000-1100-000008000000}">
      <formula1>$AI$1:$AI$7</formula1>
    </dataValidation>
  </dataValidations>
  <pageMargins left="0.75" right="0.5" top="0.5" bottom="0.75" header="0" footer="0.5"/>
  <pageSetup scale="80" firstPageNumber="22" orientation="portrait" verticalDpi="300" r:id="rId1"/>
  <headerFooter alignWithMargins="0">
    <oddFooter>&amp;C&amp;A&amp;R&amp;D &amp;T</oddFooter>
  </headerFooter>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7">
    <pageSetUpPr fitToPage="1"/>
  </sheetPr>
  <dimension ref="A1:Q46"/>
  <sheetViews>
    <sheetView workbookViewId="0"/>
  </sheetViews>
  <sheetFormatPr defaultColWidth="10.7109375" defaultRowHeight="12.75"/>
  <cols>
    <col min="1" max="1" width="4.7109375" style="4" customWidth="1"/>
    <col min="2" max="2" width="3.28515625" style="202" bestFit="1" customWidth="1"/>
    <col min="3" max="6" width="6.7109375" style="202" customWidth="1"/>
    <col min="7" max="8" width="11.7109375" style="202" customWidth="1"/>
    <col min="9" max="9" width="6.7109375" style="202" customWidth="1"/>
    <col min="10" max="10" width="5.7109375" style="202" customWidth="1"/>
    <col min="11" max="12" width="7.7109375" style="202" customWidth="1"/>
    <col min="13" max="13" width="15.7109375" style="202" customWidth="1"/>
    <col min="14" max="14" width="15.7109375" style="4" customWidth="1"/>
    <col min="15" max="250" width="9.7109375" style="4" customWidth="1"/>
    <col min="251" max="16384" width="10.7109375" style="4"/>
  </cols>
  <sheetData>
    <row r="1" spans="1:17" s="814" customFormat="1">
      <c r="A1" s="1302" t="str">
        <f>IF('FORM 1040-1'!D15="","",'FORM 1040-1'!D15)</f>
        <v/>
      </c>
      <c r="B1" s="1306"/>
      <c r="C1" s="1306"/>
      <c r="D1" s="1306"/>
      <c r="E1" s="1306"/>
      <c r="F1" s="1306"/>
      <c r="G1" s="1306"/>
      <c r="H1" s="1306"/>
      <c r="I1" s="1306"/>
      <c r="J1" s="1306"/>
      <c r="K1" s="1306"/>
      <c r="L1" s="1306"/>
      <c r="M1" s="1306"/>
      <c r="N1" s="1294" t="str">
        <f>IF('FORM 1040-1'!$E$12="","",'FORM 1040-1'!$E$12)</f>
        <v/>
      </c>
    </row>
    <row r="2" spans="1:17" s="814" customFormat="1">
      <c r="B2" s="802"/>
      <c r="C2" s="802"/>
      <c r="D2" s="802"/>
      <c r="E2" s="802"/>
      <c r="F2" s="802"/>
      <c r="G2" s="802"/>
      <c r="H2" s="802"/>
      <c r="I2" s="802"/>
      <c r="J2" s="802"/>
      <c r="K2" s="802"/>
      <c r="L2" s="802"/>
      <c r="M2" s="802"/>
    </row>
    <row r="3" spans="1:17" ht="15" customHeight="1">
      <c r="A3" s="12" t="s">
        <v>252</v>
      </c>
      <c r="B3" s="1694" t="s">
        <v>266</v>
      </c>
      <c r="C3" s="1694"/>
      <c r="D3" s="1694"/>
      <c r="E3" s="1694"/>
      <c r="F3" s="1694"/>
      <c r="G3" s="1694"/>
      <c r="H3" s="1694"/>
      <c r="I3" s="1694"/>
      <c r="J3" s="1694"/>
      <c r="K3" s="1694"/>
      <c r="L3" s="1694"/>
      <c r="M3" s="1694"/>
    </row>
    <row r="4" spans="1:17" ht="12" customHeight="1" thickBot="1"/>
    <row r="5" spans="1:17" s="202" customFormat="1" ht="15" customHeight="1" thickTop="1">
      <c r="B5" s="21"/>
      <c r="C5" s="1613"/>
      <c r="D5" s="1615"/>
      <c r="E5" s="1613" t="s">
        <v>162</v>
      </c>
      <c r="F5" s="1615"/>
      <c r="G5" s="45" t="s">
        <v>209</v>
      </c>
      <c r="H5" s="42" t="s">
        <v>210</v>
      </c>
      <c r="I5" s="1613" t="s">
        <v>211</v>
      </c>
      <c r="J5" s="1615"/>
      <c r="K5" s="1613"/>
      <c r="L5" s="1615"/>
      <c r="M5" s="1075" t="s">
        <v>663</v>
      </c>
      <c r="N5" s="46" t="s">
        <v>1478</v>
      </c>
    </row>
    <row r="6" spans="1:17" s="202" customFormat="1" ht="15" customHeight="1">
      <c r="B6" s="21"/>
      <c r="C6" s="1610" t="s">
        <v>213</v>
      </c>
      <c r="D6" s="1612"/>
      <c r="E6" s="1610" t="s">
        <v>214</v>
      </c>
      <c r="F6" s="1612"/>
      <c r="G6" s="194" t="s">
        <v>216</v>
      </c>
      <c r="H6" s="309" t="s">
        <v>197</v>
      </c>
      <c r="I6" s="1610" t="s">
        <v>209</v>
      </c>
      <c r="J6" s="1612"/>
      <c r="K6" s="1610"/>
      <c r="L6" s="1612"/>
      <c r="M6" s="1076" t="s">
        <v>212</v>
      </c>
      <c r="N6" s="110" t="s">
        <v>1479</v>
      </c>
    </row>
    <row r="7" spans="1:17" s="202" customFormat="1" ht="15" customHeight="1" thickBot="1">
      <c r="B7" s="21"/>
      <c r="C7" s="1629" t="s">
        <v>218</v>
      </c>
      <c r="D7" s="1630"/>
      <c r="E7" s="1629" t="s">
        <v>115</v>
      </c>
      <c r="F7" s="1630"/>
      <c r="G7" s="50" t="s">
        <v>219</v>
      </c>
      <c r="H7" s="47" t="s">
        <v>220</v>
      </c>
      <c r="I7" s="1629" t="s">
        <v>221</v>
      </c>
      <c r="J7" s="1630"/>
      <c r="K7" s="1985" t="s">
        <v>2502</v>
      </c>
      <c r="L7" s="1986"/>
      <c r="M7" s="1092" t="s">
        <v>217</v>
      </c>
      <c r="N7" s="51" t="s">
        <v>1480</v>
      </c>
    </row>
    <row r="8" spans="1:17" s="202" customFormat="1" ht="18" customHeight="1" thickTop="1" thickBot="1">
      <c r="B8" s="310">
        <v>1</v>
      </c>
      <c r="C8" s="1981" t="str">
        <f>IF('FORM 1040-2'!B7="","",('FORM 1040-2'!B7))</f>
        <v/>
      </c>
      <c r="D8" s="1982"/>
      <c r="E8" s="1981" t="str">
        <f>IF('FORM 1040-2'!C7="","",('FORM 1040-2'!C7))</f>
        <v/>
      </c>
      <c r="F8" s="1982"/>
      <c r="G8" s="1028" t="str">
        <f>IF('FORM 1040-2'!J7="","",('FORM 1040-2'!J7))</f>
        <v/>
      </c>
      <c r="H8" s="1368" t="str">
        <f>IF(C8="Efficiency",'FORM 1040-9'!$J$36,IF(C8="1 Bedroom",'FORM 1040-9'!$K$36,IF(C8="2 Bedroom",'FORM 1040-9'!$M$36,IF(C8="3 Bedroom",'FORM 1040-9'!$N$36,IF(C8="4 Bedroom",'FORM 1040-9'!$O$36,"")))))</f>
        <v/>
      </c>
      <c r="I8" s="1983" t="str">
        <f t="shared" ref="I8:I42" si="0">IF(G8="",G8,+G8+H8)</f>
        <v/>
      </c>
      <c r="J8" s="1984"/>
      <c r="K8" s="1981" t="str">
        <f>IF('FORM 1040-2'!I7="","",('FORM 1040-2'!I7))</f>
        <v/>
      </c>
      <c r="L8" s="1982"/>
      <c r="M8" s="1367"/>
      <c r="N8" s="311" t="str">
        <f>IF(G8="",G8,+I8/M8)</f>
        <v/>
      </c>
      <c r="Q8" s="312"/>
    </row>
    <row r="9" spans="1:17" s="202" customFormat="1" ht="18" customHeight="1" thickTop="1" thickBot="1">
      <c r="B9" s="310">
        <v>2</v>
      </c>
      <c r="C9" s="1981" t="str">
        <f>IF('FORM 1040-2'!B8="","",('FORM 1040-2'!B8))</f>
        <v/>
      </c>
      <c r="D9" s="1982"/>
      <c r="E9" s="1981" t="str">
        <f>IF('FORM 1040-2'!C8="","",('FORM 1040-2'!C8))</f>
        <v/>
      </c>
      <c r="F9" s="1982"/>
      <c r="G9" s="1028" t="str">
        <f>+'FORM 1040-2'!U8</f>
        <v/>
      </c>
      <c r="H9" s="1368" t="str">
        <f>IF(C9="Efficiency",'FORM 1040-9'!$J$36,IF(C9="1 Bedroom",'FORM 1040-9'!$K$36,IF(C9="2 Bedroom",'FORM 1040-9'!$M$36,IF(C9="3 Bedroom",'FORM 1040-9'!$N$36,IF(C9="4 Bedroom",'FORM 1040-9'!$O$36,"")))))</f>
        <v/>
      </c>
      <c r="I9" s="1983" t="str">
        <f t="shared" si="0"/>
        <v/>
      </c>
      <c r="J9" s="1984"/>
      <c r="K9" s="1981" t="str">
        <f>+'FORM 1040-2'!T8</f>
        <v/>
      </c>
      <c r="L9" s="1982"/>
      <c r="M9" s="1367"/>
      <c r="N9" s="311" t="str">
        <f t="shared" ref="N9:N42" si="1">IF(G9="",G9,+I9/M9)</f>
        <v/>
      </c>
      <c r="Q9" s="312"/>
    </row>
    <row r="10" spans="1:17" s="202" customFormat="1" ht="18" customHeight="1" thickTop="1" thickBot="1">
      <c r="B10" s="310">
        <v>3</v>
      </c>
      <c r="C10" s="1981" t="str">
        <f>IF('FORM 1040-2'!B9="","",('FORM 1040-2'!B9))</f>
        <v/>
      </c>
      <c r="D10" s="1982"/>
      <c r="E10" s="1981" t="str">
        <f>IF('FORM 1040-2'!C9="","",('FORM 1040-2'!C9))</f>
        <v/>
      </c>
      <c r="F10" s="1982"/>
      <c r="G10" s="1028" t="str">
        <f>+'FORM 1040-2'!U9</f>
        <v/>
      </c>
      <c r="H10" s="1368" t="str">
        <f>IF(C10="Efficiency",'FORM 1040-9'!$J$36,IF(C10="1 Bedroom",'FORM 1040-9'!$K$36,IF(C10="2 Bedroom",'FORM 1040-9'!$M$36,IF(C10="3 Bedroom",'FORM 1040-9'!$N$36,IF(C10="4 Bedroom",'FORM 1040-9'!$O$36,"")))))</f>
        <v/>
      </c>
      <c r="I10" s="1983" t="str">
        <f t="shared" si="0"/>
        <v/>
      </c>
      <c r="J10" s="1984"/>
      <c r="K10" s="1981" t="str">
        <f>+'FORM 1040-2'!T9</f>
        <v/>
      </c>
      <c r="L10" s="1982"/>
      <c r="M10" s="1367"/>
      <c r="N10" s="311" t="str">
        <f t="shared" si="1"/>
        <v/>
      </c>
      <c r="Q10" s="312"/>
    </row>
    <row r="11" spans="1:17" s="202" customFormat="1" ht="18" customHeight="1" thickTop="1" thickBot="1">
      <c r="B11" s="310">
        <v>4</v>
      </c>
      <c r="C11" s="1981" t="str">
        <f>IF('FORM 1040-2'!B10="","",('FORM 1040-2'!B10))</f>
        <v/>
      </c>
      <c r="D11" s="1982"/>
      <c r="E11" s="1981" t="str">
        <f>IF('FORM 1040-2'!C10="","",('FORM 1040-2'!C10))</f>
        <v/>
      </c>
      <c r="F11" s="1982"/>
      <c r="G11" s="1028" t="str">
        <f>+'FORM 1040-2'!U10</f>
        <v/>
      </c>
      <c r="H11" s="1368" t="str">
        <f>IF(C11="Efficiency",'FORM 1040-9'!$J$36,IF(C11="1 Bedroom",'FORM 1040-9'!$K$36,IF(C11="2 Bedroom",'FORM 1040-9'!$M$36,IF(C11="3 Bedroom",'FORM 1040-9'!$N$36,IF(C11="4 Bedroom",'FORM 1040-9'!$O$36,"")))))</f>
        <v/>
      </c>
      <c r="I11" s="1983" t="str">
        <f t="shared" si="0"/>
        <v/>
      </c>
      <c r="J11" s="1984"/>
      <c r="K11" s="1981" t="str">
        <f>+'FORM 1040-2'!T10</f>
        <v/>
      </c>
      <c r="L11" s="1982"/>
      <c r="M11" s="1367"/>
      <c r="N11" s="311" t="str">
        <f t="shared" si="1"/>
        <v/>
      </c>
      <c r="Q11" s="312"/>
    </row>
    <row r="12" spans="1:17" s="202" customFormat="1" ht="18" customHeight="1" thickTop="1" thickBot="1">
      <c r="B12" s="310">
        <v>5</v>
      </c>
      <c r="C12" s="1981" t="str">
        <f>IF('FORM 1040-2'!B11="","",('FORM 1040-2'!B11))</f>
        <v/>
      </c>
      <c r="D12" s="1982"/>
      <c r="E12" s="1981" t="str">
        <f>IF('FORM 1040-2'!C11="","",('FORM 1040-2'!C11))</f>
        <v/>
      </c>
      <c r="F12" s="1982"/>
      <c r="G12" s="1028" t="str">
        <f>+'FORM 1040-2'!U11</f>
        <v/>
      </c>
      <c r="H12" s="1369" t="str">
        <f>IF(C12="Efficiency",'FORM 1040-9'!$J$36,IF(C12="1 Bedroom",'FORM 1040-9'!$K$36,IF(C12="2 Bedroom",'FORM 1040-9'!$M$36,IF(C12="3 Bedroom",'FORM 1040-9'!$N$36,IF(C12="4 Bedroom",'FORM 1040-9'!$O$36,"")))))</f>
        <v/>
      </c>
      <c r="I12" s="1983" t="str">
        <f t="shared" si="0"/>
        <v/>
      </c>
      <c r="J12" s="1984"/>
      <c r="K12" s="1981" t="str">
        <f>+'FORM 1040-2'!T11</f>
        <v/>
      </c>
      <c r="L12" s="1982"/>
      <c r="M12" s="1367"/>
      <c r="N12" s="311" t="str">
        <f t="shared" si="1"/>
        <v/>
      </c>
      <c r="Q12" s="312"/>
    </row>
    <row r="13" spans="1:17" s="202" customFormat="1" ht="18" customHeight="1" thickTop="1" thickBot="1">
      <c r="B13" s="310">
        <v>6</v>
      </c>
      <c r="C13" s="1981" t="str">
        <f>IF('FORM 1040-2'!B12="","",('FORM 1040-2'!B12))</f>
        <v/>
      </c>
      <c r="D13" s="1982"/>
      <c r="E13" s="1981" t="str">
        <f>IF('FORM 1040-2'!C12="","",('FORM 1040-2'!C12))</f>
        <v/>
      </c>
      <c r="F13" s="1982"/>
      <c r="G13" s="1028" t="str">
        <f>+'FORM 1040-2'!U12</f>
        <v/>
      </c>
      <c r="H13" s="1369" t="str">
        <f>IF(C13="Efficiency",'FORM 1040-9'!$J$36,IF(C13="1 Bedroom",'FORM 1040-9'!$K$36,IF(C13="2 Bedroom",'FORM 1040-9'!$M$36,IF(C13="3 Bedroom",'FORM 1040-9'!$N$36,IF(C13="4 Bedroom",'FORM 1040-9'!$O$36,"")))))</f>
        <v/>
      </c>
      <c r="I13" s="1983" t="str">
        <f t="shared" si="0"/>
        <v/>
      </c>
      <c r="J13" s="1984"/>
      <c r="K13" s="1981" t="str">
        <f>+'FORM 1040-2'!T12</f>
        <v/>
      </c>
      <c r="L13" s="1982"/>
      <c r="M13" s="1367"/>
      <c r="N13" s="311" t="str">
        <f t="shared" si="1"/>
        <v/>
      </c>
      <c r="Q13" s="312"/>
    </row>
    <row r="14" spans="1:17" s="202" customFormat="1" ht="18" customHeight="1" thickTop="1" thickBot="1">
      <c r="B14" s="310">
        <v>7</v>
      </c>
      <c r="C14" s="1981" t="str">
        <f>IF('FORM 1040-2'!B13="","",('FORM 1040-2'!B13))</f>
        <v/>
      </c>
      <c r="D14" s="1982"/>
      <c r="E14" s="1981" t="str">
        <f>IF('FORM 1040-2'!C13="","",('FORM 1040-2'!C13))</f>
        <v/>
      </c>
      <c r="F14" s="1982"/>
      <c r="G14" s="1028" t="str">
        <f>+'FORM 1040-2'!U13</f>
        <v/>
      </c>
      <c r="H14" s="1369" t="str">
        <f>IF(C14="Efficiency",'FORM 1040-9'!$J$36,IF(C14="1 Bedroom",'FORM 1040-9'!$K$36,IF(C14="2 Bedroom",'FORM 1040-9'!$M$36,IF(C14="3 Bedroom",'FORM 1040-9'!$N$36,IF(C14="4 Bedroom",'FORM 1040-9'!$O$36,"")))))</f>
        <v/>
      </c>
      <c r="I14" s="1983" t="str">
        <f t="shared" si="0"/>
        <v/>
      </c>
      <c r="J14" s="1984"/>
      <c r="K14" s="1981" t="str">
        <f>+'FORM 1040-2'!T13</f>
        <v/>
      </c>
      <c r="L14" s="1982"/>
      <c r="M14" s="1367"/>
      <c r="N14" s="311" t="str">
        <f t="shared" si="1"/>
        <v/>
      </c>
      <c r="Q14" s="312"/>
    </row>
    <row r="15" spans="1:17" s="202" customFormat="1" ht="18" customHeight="1" thickTop="1" thickBot="1">
      <c r="B15" s="310">
        <v>8</v>
      </c>
      <c r="C15" s="1981" t="str">
        <f>IF('FORM 1040-2'!B14="","",('FORM 1040-2'!B14))</f>
        <v/>
      </c>
      <c r="D15" s="1982"/>
      <c r="E15" s="1981" t="str">
        <f>IF('FORM 1040-2'!C14="","",('FORM 1040-2'!C14))</f>
        <v/>
      </c>
      <c r="F15" s="1982"/>
      <c r="G15" s="1028" t="str">
        <f>+'FORM 1040-2'!U14</f>
        <v/>
      </c>
      <c r="H15" s="1369" t="str">
        <f>IF(C15="Efficiency",'FORM 1040-9'!$J$36,IF(C15="1 Bedroom",'FORM 1040-9'!$K$36,IF(C15="2 Bedroom",'FORM 1040-9'!$M$36,IF(C15="3 Bedroom",'FORM 1040-9'!$N$36,IF(C15="4 Bedroom",'FORM 1040-9'!$O$36,"")))))</f>
        <v/>
      </c>
      <c r="I15" s="1983" t="str">
        <f t="shared" si="0"/>
        <v/>
      </c>
      <c r="J15" s="1984"/>
      <c r="K15" s="1981" t="str">
        <f>+'FORM 1040-2'!T14</f>
        <v/>
      </c>
      <c r="L15" s="1982"/>
      <c r="M15" s="1367"/>
      <c r="N15" s="311" t="str">
        <f t="shared" si="1"/>
        <v/>
      </c>
      <c r="Q15" s="312"/>
    </row>
    <row r="16" spans="1:17" s="202" customFormat="1" ht="18" customHeight="1" thickTop="1" thickBot="1">
      <c r="B16" s="310">
        <v>9</v>
      </c>
      <c r="C16" s="1981" t="str">
        <f>IF('FORM 1040-2'!B15="","",('FORM 1040-2'!B15))</f>
        <v/>
      </c>
      <c r="D16" s="1982"/>
      <c r="E16" s="1981" t="str">
        <f>IF('FORM 1040-2'!C15="","",('FORM 1040-2'!C15))</f>
        <v/>
      </c>
      <c r="F16" s="1982"/>
      <c r="G16" s="1028" t="str">
        <f>+'FORM 1040-2'!U15</f>
        <v/>
      </c>
      <c r="H16" s="1369" t="str">
        <f>IF(C16="Efficiency",'FORM 1040-9'!$J$36,IF(C16="1 Bedroom",'FORM 1040-9'!$K$36,IF(C16="2 Bedroom",'FORM 1040-9'!$M$36,IF(C16="3 Bedroom",'FORM 1040-9'!$N$36,IF(C16="4 Bedroom",'FORM 1040-9'!$O$36,"")))))</f>
        <v/>
      </c>
      <c r="I16" s="1983" t="str">
        <f t="shared" si="0"/>
        <v/>
      </c>
      <c r="J16" s="1984"/>
      <c r="K16" s="1981" t="str">
        <f>+'FORM 1040-2'!T15</f>
        <v/>
      </c>
      <c r="L16" s="1982"/>
      <c r="M16" s="1367"/>
      <c r="N16" s="311" t="str">
        <f t="shared" si="1"/>
        <v/>
      </c>
      <c r="Q16" s="312"/>
    </row>
    <row r="17" spans="2:17" s="202" customFormat="1" ht="18" customHeight="1" thickTop="1" thickBot="1">
      <c r="B17" s="310">
        <v>10</v>
      </c>
      <c r="C17" s="1981" t="str">
        <f>IF('FORM 1040-2'!B16="","",('FORM 1040-2'!B16))</f>
        <v/>
      </c>
      <c r="D17" s="1982"/>
      <c r="E17" s="1981" t="str">
        <f>IF('FORM 1040-2'!C16="","",('FORM 1040-2'!C16))</f>
        <v/>
      </c>
      <c r="F17" s="1982"/>
      <c r="G17" s="1028" t="str">
        <f>+'FORM 1040-2'!U16</f>
        <v/>
      </c>
      <c r="H17" s="1369" t="str">
        <f>IF(C17="Efficiency",'FORM 1040-9'!$J$36,IF(C17="1 Bedroom",'FORM 1040-9'!$K$36,IF(C17="2 Bedroom",'FORM 1040-9'!$M$36,IF(C17="3 Bedroom",'FORM 1040-9'!$N$36,IF(C17="4 Bedroom",'FORM 1040-9'!$O$36,"")))))</f>
        <v/>
      </c>
      <c r="I17" s="1983" t="str">
        <f t="shared" si="0"/>
        <v/>
      </c>
      <c r="J17" s="1984"/>
      <c r="K17" s="1981" t="str">
        <f>+'FORM 1040-2'!T16</f>
        <v/>
      </c>
      <c r="L17" s="1982"/>
      <c r="M17" s="1367"/>
      <c r="N17" s="311" t="str">
        <f t="shared" si="1"/>
        <v/>
      </c>
      <c r="Q17" s="312"/>
    </row>
    <row r="18" spans="2:17" s="202" customFormat="1" ht="18" customHeight="1" thickTop="1" thickBot="1">
      <c r="B18" s="310">
        <v>11</v>
      </c>
      <c r="C18" s="1981" t="str">
        <f>IF('FORM 1040-2'!B17="","",('FORM 1040-2'!B17))</f>
        <v/>
      </c>
      <c r="D18" s="1982"/>
      <c r="E18" s="1981" t="str">
        <f>IF('FORM 1040-2'!C17="","",('FORM 1040-2'!C17))</f>
        <v/>
      </c>
      <c r="F18" s="1982"/>
      <c r="G18" s="1028" t="str">
        <f>+'FORM 1040-2'!U17</f>
        <v/>
      </c>
      <c r="H18" s="1369" t="str">
        <f>IF(C18="Efficiency",'FORM 1040-9'!$J$36,IF(C18="1 Bedroom",'FORM 1040-9'!$K$36,IF(C18="2 Bedroom",'FORM 1040-9'!$M$36,IF(C18="3 Bedroom",'FORM 1040-9'!$N$36,IF(C18="4 Bedroom",'FORM 1040-9'!$O$36,"")))))</f>
        <v/>
      </c>
      <c r="I18" s="1983" t="str">
        <f t="shared" si="0"/>
        <v/>
      </c>
      <c r="J18" s="1984"/>
      <c r="K18" s="1981" t="str">
        <f>+'FORM 1040-2'!T17</f>
        <v/>
      </c>
      <c r="L18" s="1982"/>
      <c r="M18" s="1367"/>
      <c r="N18" s="311" t="str">
        <f t="shared" si="1"/>
        <v/>
      </c>
      <c r="Q18" s="312"/>
    </row>
    <row r="19" spans="2:17" s="202" customFormat="1" ht="18" customHeight="1" thickTop="1" thickBot="1">
      <c r="B19" s="310">
        <v>12</v>
      </c>
      <c r="C19" s="1981" t="str">
        <f>IF('FORM 1040-2'!B18="","",('FORM 1040-2'!B18))</f>
        <v/>
      </c>
      <c r="D19" s="1982"/>
      <c r="E19" s="1981" t="str">
        <f>IF('FORM 1040-2'!C18="","",('FORM 1040-2'!C18))</f>
        <v/>
      </c>
      <c r="F19" s="1982"/>
      <c r="G19" s="1028" t="str">
        <f>+'FORM 1040-2'!U18</f>
        <v/>
      </c>
      <c r="H19" s="1369" t="str">
        <f>IF(C19="Efficiency",'FORM 1040-9'!$J$36,IF(C19="1 Bedroom",'FORM 1040-9'!$K$36,IF(C19="2 Bedroom",'FORM 1040-9'!$M$36,IF(C19="3 Bedroom",'FORM 1040-9'!$N$36,IF(C19="4 Bedroom",'FORM 1040-9'!$O$36,"")))))</f>
        <v/>
      </c>
      <c r="I19" s="1983" t="str">
        <f t="shared" si="0"/>
        <v/>
      </c>
      <c r="J19" s="1984"/>
      <c r="K19" s="1981" t="str">
        <f>+'FORM 1040-2'!T18</f>
        <v/>
      </c>
      <c r="L19" s="1982"/>
      <c r="M19" s="1367"/>
      <c r="N19" s="311" t="str">
        <f t="shared" si="1"/>
        <v/>
      </c>
    </row>
    <row r="20" spans="2:17" s="202" customFormat="1" ht="18" customHeight="1" thickTop="1" thickBot="1">
      <c r="B20" s="310">
        <v>13</v>
      </c>
      <c r="C20" s="1981" t="str">
        <f>IF('FORM 1040-2'!B19="","",('FORM 1040-2'!B19))</f>
        <v/>
      </c>
      <c r="D20" s="1982"/>
      <c r="E20" s="1981" t="str">
        <f>IF('FORM 1040-2'!C19="","",('FORM 1040-2'!C19))</f>
        <v/>
      </c>
      <c r="F20" s="1982"/>
      <c r="G20" s="1028" t="str">
        <f>+'FORM 1040-2'!U19</f>
        <v/>
      </c>
      <c r="H20" s="1369" t="str">
        <f>IF(C20="Efficiency",'FORM 1040-9'!$J$36,IF(C20="1 Bedroom",'FORM 1040-9'!$K$36,IF(C20="2 Bedroom",'FORM 1040-9'!$M$36,IF(C20="3 Bedroom",'FORM 1040-9'!$N$36,IF(C20="4 Bedroom",'FORM 1040-9'!$O$36,"")))))</f>
        <v/>
      </c>
      <c r="I20" s="1983" t="str">
        <f t="shared" si="0"/>
        <v/>
      </c>
      <c r="J20" s="1984"/>
      <c r="K20" s="1981" t="str">
        <f>+'FORM 1040-2'!T19</f>
        <v/>
      </c>
      <c r="L20" s="1982"/>
      <c r="M20" s="1367"/>
      <c r="N20" s="311" t="str">
        <f t="shared" si="1"/>
        <v/>
      </c>
    </row>
    <row r="21" spans="2:17" s="202" customFormat="1" ht="18" customHeight="1" thickTop="1" thickBot="1">
      <c r="B21" s="310">
        <v>14</v>
      </c>
      <c r="C21" s="1981" t="str">
        <f>IF('FORM 1040-2'!B20="","",('FORM 1040-2'!B20))</f>
        <v/>
      </c>
      <c r="D21" s="1982"/>
      <c r="E21" s="1981" t="str">
        <f>IF('FORM 1040-2'!C20="","",('FORM 1040-2'!C20))</f>
        <v/>
      </c>
      <c r="F21" s="1982"/>
      <c r="G21" s="1028" t="str">
        <f>+'FORM 1040-2'!U20</f>
        <v/>
      </c>
      <c r="H21" s="1369" t="str">
        <f>IF(C21="Efficiency",'FORM 1040-9'!$J$36,IF(C21="1 Bedroom",'FORM 1040-9'!$K$36,IF(C21="2 Bedroom",'FORM 1040-9'!$M$36,IF(C21="3 Bedroom",'FORM 1040-9'!$N$36,IF(C21="4 Bedroom",'FORM 1040-9'!$O$36,"")))))</f>
        <v/>
      </c>
      <c r="I21" s="1983" t="str">
        <f t="shared" si="0"/>
        <v/>
      </c>
      <c r="J21" s="1984"/>
      <c r="K21" s="1981" t="str">
        <f>+'FORM 1040-2'!T20</f>
        <v/>
      </c>
      <c r="L21" s="1982"/>
      <c r="M21" s="1367"/>
      <c r="N21" s="311" t="str">
        <f t="shared" si="1"/>
        <v/>
      </c>
    </row>
    <row r="22" spans="2:17" s="202" customFormat="1" ht="18" customHeight="1" thickTop="1" thickBot="1">
      <c r="B22" s="310">
        <v>15</v>
      </c>
      <c r="C22" s="1981" t="str">
        <f>IF('FORM 1040-2'!B21="","",('FORM 1040-2'!B21))</f>
        <v/>
      </c>
      <c r="D22" s="1982"/>
      <c r="E22" s="1981" t="str">
        <f>IF('FORM 1040-2'!C21="","",('FORM 1040-2'!C21))</f>
        <v/>
      </c>
      <c r="F22" s="1982"/>
      <c r="G22" s="1028" t="str">
        <f>+'FORM 1040-2'!U21</f>
        <v/>
      </c>
      <c r="H22" s="1369" t="str">
        <f>IF(C22="Efficiency",'FORM 1040-9'!$J$36,IF(C22="1 Bedroom",'FORM 1040-9'!$K$36,IF(C22="2 Bedroom",'FORM 1040-9'!$M$36,IF(C22="3 Bedroom",'FORM 1040-9'!$N$36,IF(C22="4 Bedroom",'FORM 1040-9'!$O$36,"")))))</f>
        <v/>
      </c>
      <c r="I22" s="1983" t="str">
        <f t="shared" si="0"/>
        <v/>
      </c>
      <c r="J22" s="1984"/>
      <c r="K22" s="1981" t="str">
        <f>+'FORM 1040-2'!T21</f>
        <v/>
      </c>
      <c r="L22" s="1982"/>
      <c r="M22" s="1367"/>
      <c r="N22" s="311" t="str">
        <f t="shared" si="1"/>
        <v/>
      </c>
    </row>
    <row r="23" spans="2:17" s="202" customFormat="1" ht="18" customHeight="1" thickTop="1" thickBot="1">
      <c r="B23" s="310">
        <v>16</v>
      </c>
      <c r="C23" s="1981" t="str">
        <f>IF('FORM 1040-2'!B22="","",('FORM 1040-2'!B22))</f>
        <v/>
      </c>
      <c r="D23" s="1982"/>
      <c r="E23" s="1981" t="str">
        <f>IF('FORM 1040-2'!C22="","",('FORM 1040-2'!C22))</f>
        <v/>
      </c>
      <c r="F23" s="1982"/>
      <c r="G23" s="1028" t="str">
        <f>+'FORM 1040-2'!U22</f>
        <v/>
      </c>
      <c r="H23" s="1369" t="str">
        <f>IF(C23="Efficiency",'FORM 1040-9'!$J$36,IF(C23="1 Bedroom",'FORM 1040-9'!$K$36,IF(C23="2 Bedroom",'FORM 1040-9'!$M$36,IF(C23="3 Bedroom",'FORM 1040-9'!$N$36,IF(C23="4 Bedroom",'FORM 1040-9'!$O$36,"")))))</f>
        <v/>
      </c>
      <c r="I23" s="1983" t="str">
        <f t="shared" si="0"/>
        <v/>
      </c>
      <c r="J23" s="1984"/>
      <c r="K23" s="1981" t="str">
        <f>+'FORM 1040-2'!T22</f>
        <v/>
      </c>
      <c r="L23" s="1982"/>
      <c r="M23" s="1367"/>
      <c r="N23" s="311" t="str">
        <f t="shared" si="1"/>
        <v/>
      </c>
    </row>
    <row r="24" spans="2:17" s="202" customFormat="1" ht="18" customHeight="1" thickTop="1" thickBot="1">
      <c r="B24" s="310">
        <v>17</v>
      </c>
      <c r="C24" s="1981" t="str">
        <f>IF('FORM 1040-2'!B23="","",('FORM 1040-2'!B23))</f>
        <v/>
      </c>
      <c r="D24" s="1982"/>
      <c r="E24" s="1981" t="str">
        <f>IF('FORM 1040-2'!C23="","",('FORM 1040-2'!C23))</f>
        <v/>
      </c>
      <c r="F24" s="1982"/>
      <c r="G24" s="1028" t="str">
        <f>+'FORM 1040-2'!U23</f>
        <v/>
      </c>
      <c r="H24" s="1369" t="str">
        <f>IF(C24="Efficiency",'FORM 1040-9'!$J$36,IF(C24="1 Bedroom",'FORM 1040-9'!$K$36,IF(C24="2 Bedroom",'FORM 1040-9'!$M$36,IF(C24="3 Bedroom",'FORM 1040-9'!$N$36,IF(C24="4 Bedroom",'FORM 1040-9'!$O$36,"")))))</f>
        <v/>
      </c>
      <c r="I24" s="1983" t="str">
        <f t="shared" si="0"/>
        <v/>
      </c>
      <c r="J24" s="1984"/>
      <c r="K24" s="1981" t="str">
        <f>+'FORM 1040-2'!T23</f>
        <v/>
      </c>
      <c r="L24" s="1982"/>
      <c r="M24" s="1367"/>
      <c r="N24" s="311" t="str">
        <f t="shared" si="1"/>
        <v/>
      </c>
    </row>
    <row r="25" spans="2:17" s="202" customFormat="1" ht="18" customHeight="1" thickTop="1" thickBot="1">
      <c r="B25" s="310">
        <v>18</v>
      </c>
      <c r="C25" s="1981" t="str">
        <f>IF('FORM 1040-2'!B24="","",('FORM 1040-2'!B24))</f>
        <v/>
      </c>
      <c r="D25" s="1982"/>
      <c r="E25" s="1981" t="str">
        <f>IF('FORM 1040-2'!C24="","",('FORM 1040-2'!C24))</f>
        <v/>
      </c>
      <c r="F25" s="1982"/>
      <c r="G25" s="1028" t="str">
        <f>+'FORM 1040-2'!U24</f>
        <v/>
      </c>
      <c r="H25" s="1369" t="str">
        <f>IF(C25="Efficiency",'FORM 1040-9'!$J$36,IF(C25="1 Bedroom",'FORM 1040-9'!$K$36,IF(C25="2 Bedroom",'FORM 1040-9'!$M$36,IF(C25="3 Bedroom",'FORM 1040-9'!$N$36,IF(C25="4 Bedroom",'FORM 1040-9'!$O$36,"")))))</f>
        <v/>
      </c>
      <c r="I25" s="1983" t="str">
        <f t="shared" si="0"/>
        <v/>
      </c>
      <c r="J25" s="1984"/>
      <c r="K25" s="1981" t="str">
        <f>+'FORM 1040-2'!T24</f>
        <v/>
      </c>
      <c r="L25" s="1982"/>
      <c r="M25" s="1367"/>
      <c r="N25" s="311" t="str">
        <f t="shared" si="1"/>
        <v/>
      </c>
    </row>
    <row r="26" spans="2:17" s="202" customFormat="1" ht="18" customHeight="1" thickTop="1" thickBot="1">
      <c r="B26" s="310">
        <v>19</v>
      </c>
      <c r="C26" s="1981" t="str">
        <f>IF('FORM 1040-2'!B25="","",('FORM 1040-2'!B25))</f>
        <v/>
      </c>
      <c r="D26" s="1982"/>
      <c r="E26" s="1981" t="str">
        <f>IF('FORM 1040-2'!C25="","",('FORM 1040-2'!C25))</f>
        <v/>
      </c>
      <c r="F26" s="1982"/>
      <c r="G26" s="1028" t="str">
        <f>+'FORM 1040-2'!U25</f>
        <v/>
      </c>
      <c r="H26" s="1369" t="str">
        <f>IF(C26="Efficiency",'FORM 1040-9'!$J$36,IF(C26="1 Bedroom",'FORM 1040-9'!$K$36,IF(C26="2 Bedroom",'FORM 1040-9'!$M$36,IF(C26="3 Bedroom",'FORM 1040-9'!$N$36,IF(C26="4 Bedroom",'FORM 1040-9'!$O$36,"")))))</f>
        <v/>
      </c>
      <c r="I26" s="1983" t="str">
        <f t="shared" si="0"/>
        <v/>
      </c>
      <c r="J26" s="1984"/>
      <c r="K26" s="1981" t="str">
        <f>+'FORM 1040-2'!T25</f>
        <v/>
      </c>
      <c r="L26" s="1982"/>
      <c r="M26" s="1367"/>
      <c r="N26" s="311" t="str">
        <f t="shared" si="1"/>
        <v/>
      </c>
    </row>
    <row r="27" spans="2:17" s="202" customFormat="1" ht="18" customHeight="1" thickTop="1" thickBot="1">
      <c r="B27" s="310">
        <v>20</v>
      </c>
      <c r="C27" s="1981" t="str">
        <f>IF('FORM 1040-2'!B26="","",('FORM 1040-2'!B26))</f>
        <v/>
      </c>
      <c r="D27" s="1982"/>
      <c r="E27" s="1981" t="str">
        <f>IF('FORM 1040-2'!C26="","",('FORM 1040-2'!C26))</f>
        <v/>
      </c>
      <c r="F27" s="1982"/>
      <c r="G27" s="1028" t="str">
        <f>+'FORM 1040-2'!U26</f>
        <v/>
      </c>
      <c r="H27" s="1369" t="str">
        <f>IF(C27="Efficiency",'FORM 1040-9'!$J$36,IF(C27="1 Bedroom",'FORM 1040-9'!$K$36,IF(C27="2 Bedroom",'FORM 1040-9'!$M$36,IF(C27="3 Bedroom",'FORM 1040-9'!$N$36,IF(C27="4 Bedroom",'FORM 1040-9'!$O$36,"")))))</f>
        <v/>
      </c>
      <c r="I27" s="1983" t="str">
        <f t="shared" si="0"/>
        <v/>
      </c>
      <c r="J27" s="1984"/>
      <c r="K27" s="1981" t="str">
        <f>+'FORM 1040-2'!T26</f>
        <v/>
      </c>
      <c r="L27" s="1982"/>
      <c r="M27" s="1367"/>
      <c r="N27" s="311" t="str">
        <f t="shared" si="1"/>
        <v/>
      </c>
    </row>
    <row r="28" spans="2:17" s="202" customFormat="1" ht="18" customHeight="1" thickTop="1" thickBot="1">
      <c r="B28" s="310">
        <v>21</v>
      </c>
      <c r="C28" s="1981" t="str">
        <f>IF('FORM 1040-2'!B27="","",('FORM 1040-2'!B27))</f>
        <v/>
      </c>
      <c r="D28" s="1982"/>
      <c r="E28" s="1981" t="str">
        <f>IF('FORM 1040-2'!C27="","",('FORM 1040-2'!C27))</f>
        <v/>
      </c>
      <c r="F28" s="1982"/>
      <c r="G28" s="1028" t="str">
        <f>+'FORM 1040-2'!U27</f>
        <v/>
      </c>
      <c r="H28" s="1369" t="str">
        <f>IF(C28="Efficiency",'FORM 1040-9'!$J$36,IF(C28="1 Bedroom",'FORM 1040-9'!$K$36,IF(C28="2 Bedroom",'FORM 1040-9'!$M$36,IF(C28="3 Bedroom",'FORM 1040-9'!$N$36,IF(C28="4 Bedroom",'FORM 1040-9'!$O$36,"")))))</f>
        <v/>
      </c>
      <c r="I28" s="1983" t="str">
        <f t="shared" si="0"/>
        <v/>
      </c>
      <c r="J28" s="1984"/>
      <c r="K28" s="1981" t="str">
        <f>+'FORM 1040-2'!T27</f>
        <v/>
      </c>
      <c r="L28" s="1982"/>
      <c r="M28" s="1367"/>
      <c r="N28" s="311" t="str">
        <f t="shared" si="1"/>
        <v/>
      </c>
    </row>
    <row r="29" spans="2:17" s="202" customFormat="1" ht="18" customHeight="1" thickTop="1" thickBot="1">
      <c r="B29" s="310">
        <v>22</v>
      </c>
      <c r="C29" s="1981" t="str">
        <f>IF('FORM 1040-2'!B28="","",('FORM 1040-2'!B28))</f>
        <v/>
      </c>
      <c r="D29" s="1982"/>
      <c r="E29" s="1981" t="str">
        <f>IF('FORM 1040-2'!C28="","",('FORM 1040-2'!C28))</f>
        <v/>
      </c>
      <c r="F29" s="1982"/>
      <c r="G29" s="1028" t="str">
        <f>+'FORM 1040-2'!U28</f>
        <v/>
      </c>
      <c r="H29" s="1369" t="str">
        <f>IF(C29="Efficiency",'FORM 1040-9'!$J$36,IF(C29="1 Bedroom",'FORM 1040-9'!$K$36,IF(C29="2 Bedroom",'FORM 1040-9'!$M$36,IF(C29="3 Bedroom",'FORM 1040-9'!$N$36,IF(C29="4 Bedroom",'FORM 1040-9'!$O$36,"")))))</f>
        <v/>
      </c>
      <c r="I29" s="1983" t="str">
        <f t="shared" si="0"/>
        <v/>
      </c>
      <c r="J29" s="1984"/>
      <c r="K29" s="1981" t="str">
        <f>+'FORM 1040-2'!T28</f>
        <v/>
      </c>
      <c r="L29" s="1982"/>
      <c r="M29" s="1367"/>
      <c r="N29" s="311" t="str">
        <f t="shared" si="1"/>
        <v/>
      </c>
    </row>
    <row r="30" spans="2:17" s="202" customFormat="1" ht="18" customHeight="1" thickTop="1" thickBot="1">
      <c r="B30" s="310">
        <v>23</v>
      </c>
      <c r="C30" s="1981" t="str">
        <f>IF('FORM 1040-2'!B29="","",('FORM 1040-2'!B29))</f>
        <v/>
      </c>
      <c r="D30" s="1982"/>
      <c r="E30" s="1981" t="str">
        <f>IF('FORM 1040-2'!C29="","",('FORM 1040-2'!C29))</f>
        <v/>
      </c>
      <c r="F30" s="1982"/>
      <c r="G30" s="1028" t="str">
        <f>+'FORM 1040-2'!U29</f>
        <v/>
      </c>
      <c r="H30" s="1369" t="str">
        <f>IF(C30="Efficiency",'FORM 1040-9'!$J$36,IF(C30="1 Bedroom",'FORM 1040-9'!$K$36,IF(C30="2 Bedroom",'FORM 1040-9'!$M$36,IF(C30="3 Bedroom",'FORM 1040-9'!$N$36,IF(C30="4 Bedroom",'FORM 1040-9'!$O$36,"")))))</f>
        <v/>
      </c>
      <c r="I30" s="1983" t="str">
        <f t="shared" si="0"/>
        <v/>
      </c>
      <c r="J30" s="1984"/>
      <c r="K30" s="1981" t="str">
        <f>+'FORM 1040-2'!T29</f>
        <v/>
      </c>
      <c r="L30" s="1982"/>
      <c r="M30" s="1367"/>
      <c r="N30" s="311" t="str">
        <f t="shared" si="1"/>
        <v/>
      </c>
    </row>
    <row r="31" spans="2:17" s="202" customFormat="1" ht="18" customHeight="1" thickTop="1" thickBot="1">
      <c r="B31" s="310">
        <v>24</v>
      </c>
      <c r="C31" s="1981" t="str">
        <f>IF('FORM 1040-2'!B30="","",('FORM 1040-2'!B30))</f>
        <v/>
      </c>
      <c r="D31" s="1982"/>
      <c r="E31" s="1981" t="str">
        <f>IF('FORM 1040-2'!C30="","",('FORM 1040-2'!C30))</f>
        <v/>
      </c>
      <c r="F31" s="1982"/>
      <c r="G31" s="1028" t="str">
        <f>+'FORM 1040-2'!U30</f>
        <v/>
      </c>
      <c r="H31" s="1369" t="str">
        <f>IF(C31="Efficiency",'FORM 1040-9'!$J$36,IF(C31="1 Bedroom",'FORM 1040-9'!$K$36,IF(C31="2 Bedroom",'FORM 1040-9'!$M$36,IF(C31="3 Bedroom",'FORM 1040-9'!$N$36,IF(C31="4 Bedroom",'FORM 1040-9'!$O$36,"")))))</f>
        <v/>
      </c>
      <c r="I31" s="1983" t="str">
        <f t="shared" si="0"/>
        <v/>
      </c>
      <c r="J31" s="1984"/>
      <c r="K31" s="1981" t="str">
        <f>+'FORM 1040-2'!T30</f>
        <v/>
      </c>
      <c r="L31" s="1982"/>
      <c r="M31" s="1367"/>
      <c r="N31" s="311" t="str">
        <f t="shared" si="1"/>
        <v/>
      </c>
    </row>
    <row r="32" spans="2:17" s="202" customFormat="1" ht="18" customHeight="1" thickTop="1" thickBot="1">
      <c r="B32" s="310">
        <v>25</v>
      </c>
      <c r="C32" s="1981" t="str">
        <f>IF('FORM 1040-2'!B31="","",('FORM 1040-2'!B31))</f>
        <v/>
      </c>
      <c r="D32" s="1982"/>
      <c r="E32" s="1981" t="str">
        <f>IF('FORM 1040-2'!C31="","",('FORM 1040-2'!C31))</f>
        <v/>
      </c>
      <c r="F32" s="1982"/>
      <c r="G32" s="1028" t="str">
        <f>+'FORM 1040-2'!U31</f>
        <v/>
      </c>
      <c r="H32" s="1369" t="str">
        <f>IF(C32="Efficiency",'FORM 1040-9'!$J$36,IF(C32="1 Bedroom",'FORM 1040-9'!$K$36,IF(C32="2 Bedroom",'FORM 1040-9'!$M$36,IF(C32="3 Bedroom",'FORM 1040-9'!$N$36,IF(C32="4 Bedroom",'FORM 1040-9'!$O$36,"")))))</f>
        <v/>
      </c>
      <c r="I32" s="1983" t="str">
        <f t="shared" si="0"/>
        <v/>
      </c>
      <c r="J32" s="1984"/>
      <c r="K32" s="1981" t="str">
        <f>+'FORM 1040-2'!T31</f>
        <v/>
      </c>
      <c r="L32" s="1982"/>
      <c r="M32" s="1367"/>
      <c r="N32" s="311" t="str">
        <f t="shared" si="1"/>
        <v/>
      </c>
    </row>
    <row r="33" spans="2:14" s="202" customFormat="1" ht="18" customHeight="1" thickTop="1" thickBot="1">
      <c r="B33" s="310">
        <v>26</v>
      </c>
      <c r="C33" s="1981" t="str">
        <f>IF('FORM 1040-2'!B32="","",('FORM 1040-2'!B32))</f>
        <v/>
      </c>
      <c r="D33" s="1982"/>
      <c r="E33" s="1981" t="str">
        <f>IF('FORM 1040-2'!C32="","",('FORM 1040-2'!C32))</f>
        <v/>
      </c>
      <c r="F33" s="1982"/>
      <c r="G33" s="1028" t="str">
        <f>+'FORM 1040-2'!U32</f>
        <v/>
      </c>
      <c r="H33" s="1369" t="str">
        <f>IF(C33="Efficiency",'FORM 1040-9'!$J$36,IF(C33="1 Bedroom",'FORM 1040-9'!$K$36,IF(C33="2 Bedroom",'FORM 1040-9'!$M$36,IF(C33="3 Bedroom",'FORM 1040-9'!$N$36,IF(C33="4 Bedroom",'FORM 1040-9'!$O$36,"")))))</f>
        <v/>
      </c>
      <c r="I33" s="1983" t="str">
        <f t="shared" si="0"/>
        <v/>
      </c>
      <c r="J33" s="1984"/>
      <c r="K33" s="1981" t="str">
        <f>+'FORM 1040-2'!T32</f>
        <v/>
      </c>
      <c r="L33" s="1982"/>
      <c r="M33" s="1367"/>
      <c r="N33" s="311" t="str">
        <f t="shared" si="1"/>
        <v/>
      </c>
    </row>
    <row r="34" spans="2:14" s="202" customFormat="1" ht="18" customHeight="1" thickTop="1" thickBot="1">
      <c r="B34" s="310">
        <v>27</v>
      </c>
      <c r="C34" s="1981" t="str">
        <f>IF('FORM 1040-2'!B33="","",('FORM 1040-2'!B33))</f>
        <v/>
      </c>
      <c r="D34" s="1982"/>
      <c r="E34" s="1981" t="str">
        <f>IF('FORM 1040-2'!C33="","",('FORM 1040-2'!C33))</f>
        <v/>
      </c>
      <c r="F34" s="1982"/>
      <c r="G34" s="1028" t="str">
        <f>+'FORM 1040-2'!U33</f>
        <v/>
      </c>
      <c r="H34" s="1369" t="str">
        <f>IF(C34="Efficiency",'FORM 1040-9'!$J$36,IF(C34="1 Bedroom",'FORM 1040-9'!$K$36,IF(C34="2 Bedroom",'FORM 1040-9'!$M$36,IF(C34="3 Bedroom",'FORM 1040-9'!$N$36,IF(C34="4 Bedroom",'FORM 1040-9'!$O$36,"")))))</f>
        <v/>
      </c>
      <c r="I34" s="1983" t="str">
        <f t="shared" si="0"/>
        <v/>
      </c>
      <c r="J34" s="1984"/>
      <c r="K34" s="1981" t="str">
        <f>+'FORM 1040-2'!T33</f>
        <v/>
      </c>
      <c r="L34" s="1982"/>
      <c r="M34" s="1367"/>
      <c r="N34" s="311" t="str">
        <f t="shared" si="1"/>
        <v/>
      </c>
    </row>
    <row r="35" spans="2:14" s="202" customFormat="1" ht="18" customHeight="1" thickTop="1" thickBot="1">
      <c r="B35" s="310">
        <v>28</v>
      </c>
      <c r="C35" s="1981" t="str">
        <f>IF('FORM 1040-2'!B34="","",('FORM 1040-2'!B34))</f>
        <v/>
      </c>
      <c r="D35" s="1982"/>
      <c r="E35" s="1981" t="str">
        <f>IF('FORM 1040-2'!C34="","",('FORM 1040-2'!C34))</f>
        <v/>
      </c>
      <c r="F35" s="1982"/>
      <c r="G35" s="1028" t="str">
        <f>+'FORM 1040-2'!U34</f>
        <v/>
      </c>
      <c r="H35" s="1369" t="str">
        <f>IF(C35="Efficiency",'FORM 1040-9'!$J$36,IF(C35="1 Bedroom",'FORM 1040-9'!$K$36,IF(C35="2 Bedroom",'FORM 1040-9'!$M$36,IF(C35="3 Bedroom",'FORM 1040-9'!$N$36,IF(C35="4 Bedroom",'FORM 1040-9'!$O$36,"")))))</f>
        <v/>
      </c>
      <c r="I35" s="1983" t="str">
        <f t="shared" si="0"/>
        <v/>
      </c>
      <c r="J35" s="1984"/>
      <c r="K35" s="1981" t="str">
        <f>+'FORM 1040-2'!T34</f>
        <v/>
      </c>
      <c r="L35" s="1982"/>
      <c r="M35" s="1367"/>
      <c r="N35" s="311" t="str">
        <f t="shared" si="1"/>
        <v/>
      </c>
    </row>
    <row r="36" spans="2:14" s="202" customFormat="1" ht="18" customHeight="1" thickTop="1" thickBot="1">
      <c r="B36" s="310">
        <v>29</v>
      </c>
      <c r="C36" s="1981" t="str">
        <f>IF('FORM 1040-2'!B35="","",('FORM 1040-2'!B35))</f>
        <v/>
      </c>
      <c r="D36" s="1982"/>
      <c r="E36" s="1981" t="str">
        <f>IF('FORM 1040-2'!C35="","",('FORM 1040-2'!C35))</f>
        <v/>
      </c>
      <c r="F36" s="1982"/>
      <c r="G36" s="1028" t="str">
        <f>+'FORM 1040-2'!U35</f>
        <v/>
      </c>
      <c r="H36" s="1369" t="str">
        <f>IF(C36="Efficiency",'FORM 1040-9'!$J$36,IF(C36="1 Bedroom",'FORM 1040-9'!$K$36,IF(C36="2 Bedroom",'FORM 1040-9'!$M$36,IF(C36="3 Bedroom",'FORM 1040-9'!$N$36,IF(C36="4 Bedroom",'FORM 1040-9'!$O$36,"")))))</f>
        <v/>
      </c>
      <c r="I36" s="1983" t="str">
        <f t="shared" si="0"/>
        <v/>
      </c>
      <c r="J36" s="1984"/>
      <c r="K36" s="1981" t="str">
        <f>+'FORM 1040-2'!T35</f>
        <v/>
      </c>
      <c r="L36" s="1982"/>
      <c r="M36" s="1367"/>
      <c r="N36" s="311" t="str">
        <f t="shared" si="1"/>
        <v/>
      </c>
    </row>
    <row r="37" spans="2:14" s="202" customFormat="1" ht="18" customHeight="1" thickTop="1" thickBot="1">
      <c r="B37" s="310">
        <v>30</v>
      </c>
      <c r="C37" s="1981" t="str">
        <f>IF('FORM 1040-2'!B36="","",('FORM 1040-2'!B36))</f>
        <v/>
      </c>
      <c r="D37" s="1982"/>
      <c r="E37" s="1981" t="str">
        <f>IF('FORM 1040-2'!C36="","",('FORM 1040-2'!C36))</f>
        <v/>
      </c>
      <c r="F37" s="1982"/>
      <c r="G37" s="1028" t="str">
        <f>+'FORM 1040-2'!U36</f>
        <v/>
      </c>
      <c r="H37" s="1369" t="str">
        <f>IF(C37="Efficiency",'FORM 1040-9'!$J$36,IF(C37="1 Bedroom",'FORM 1040-9'!$K$36,IF(C37="2 Bedroom",'FORM 1040-9'!$M$36,IF(C37="3 Bedroom",'FORM 1040-9'!$N$36,IF(C37="4 Bedroom",'FORM 1040-9'!$O$36,"")))))</f>
        <v/>
      </c>
      <c r="I37" s="1983" t="str">
        <f t="shared" si="0"/>
        <v/>
      </c>
      <c r="J37" s="1984"/>
      <c r="K37" s="1981" t="str">
        <f>+'FORM 1040-2'!T36</f>
        <v/>
      </c>
      <c r="L37" s="1982"/>
      <c r="M37" s="1367"/>
      <c r="N37" s="311" t="str">
        <f t="shared" si="1"/>
        <v/>
      </c>
    </row>
    <row r="38" spans="2:14" s="202" customFormat="1" ht="18" customHeight="1" thickTop="1" thickBot="1">
      <c r="B38" s="310">
        <v>31</v>
      </c>
      <c r="C38" s="1981" t="str">
        <f>IF('FORM 1040-2'!B37="","",('FORM 1040-2'!B37))</f>
        <v/>
      </c>
      <c r="D38" s="1982"/>
      <c r="E38" s="1981" t="str">
        <f>IF('FORM 1040-2'!C37="","",('FORM 1040-2'!C37))</f>
        <v/>
      </c>
      <c r="F38" s="1982"/>
      <c r="G38" s="1028" t="str">
        <f>+'FORM 1040-2'!U37</f>
        <v/>
      </c>
      <c r="H38" s="1369" t="str">
        <f>IF(C38="Efficiency",'FORM 1040-9'!$J$36,IF(C38="1 Bedroom",'FORM 1040-9'!$K$36,IF(C38="2 Bedroom",'FORM 1040-9'!$M$36,IF(C38="3 Bedroom",'FORM 1040-9'!$N$36,IF(C38="4 Bedroom",'FORM 1040-9'!$O$36,"")))))</f>
        <v/>
      </c>
      <c r="I38" s="1983" t="str">
        <f t="shared" si="0"/>
        <v/>
      </c>
      <c r="J38" s="1984"/>
      <c r="K38" s="1981" t="str">
        <f>+'FORM 1040-2'!T37</f>
        <v/>
      </c>
      <c r="L38" s="1982"/>
      <c r="M38" s="1367"/>
      <c r="N38" s="311" t="str">
        <f t="shared" si="1"/>
        <v/>
      </c>
    </row>
    <row r="39" spans="2:14" s="202" customFormat="1" ht="18" customHeight="1" thickTop="1" thickBot="1">
      <c r="B39" s="310">
        <v>32</v>
      </c>
      <c r="C39" s="1981" t="str">
        <f>IF('FORM 1040-2'!B38="","",('FORM 1040-2'!B38))</f>
        <v/>
      </c>
      <c r="D39" s="1982"/>
      <c r="E39" s="1981" t="str">
        <f>IF('FORM 1040-2'!C38="","",('FORM 1040-2'!C38))</f>
        <v/>
      </c>
      <c r="F39" s="1982"/>
      <c r="G39" s="1028" t="str">
        <f>+'FORM 1040-2'!U38</f>
        <v/>
      </c>
      <c r="H39" s="1369" t="str">
        <f>IF(C39="Efficiency",'FORM 1040-9'!$J$36,IF(C39="1 Bedroom",'FORM 1040-9'!$K$36,IF(C39="2 Bedroom",'FORM 1040-9'!$M$36,IF(C39="3 Bedroom",'FORM 1040-9'!$N$36,IF(C39="4 Bedroom",'FORM 1040-9'!$O$36,"")))))</f>
        <v/>
      </c>
      <c r="I39" s="1983" t="str">
        <f t="shared" si="0"/>
        <v/>
      </c>
      <c r="J39" s="1984"/>
      <c r="K39" s="1981" t="str">
        <f>+'FORM 1040-2'!T38</f>
        <v/>
      </c>
      <c r="L39" s="1982"/>
      <c r="M39" s="1367"/>
      <c r="N39" s="311" t="str">
        <f t="shared" si="1"/>
        <v/>
      </c>
    </row>
    <row r="40" spans="2:14" s="202" customFormat="1" ht="18" customHeight="1" thickTop="1" thickBot="1">
      <c r="B40" s="310">
        <v>33</v>
      </c>
      <c r="C40" s="1981" t="str">
        <f>IF('FORM 1040-2'!B39="","",('FORM 1040-2'!B39))</f>
        <v/>
      </c>
      <c r="D40" s="1982"/>
      <c r="E40" s="1981" t="str">
        <f>IF('FORM 1040-2'!C39="","",('FORM 1040-2'!C39))</f>
        <v/>
      </c>
      <c r="F40" s="1982"/>
      <c r="G40" s="1028" t="str">
        <f>+'FORM 1040-2'!U39</f>
        <v/>
      </c>
      <c r="H40" s="1369" t="str">
        <f>IF(C40="Efficiency",'FORM 1040-9'!$J$36,IF(C40="1 Bedroom",'FORM 1040-9'!$K$36,IF(C40="2 Bedroom",'FORM 1040-9'!$M$36,IF(C40="3 Bedroom",'FORM 1040-9'!$N$36,IF(C40="4 Bedroom",'FORM 1040-9'!$O$36,"")))))</f>
        <v/>
      </c>
      <c r="I40" s="1983" t="str">
        <f t="shared" si="0"/>
        <v/>
      </c>
      <c r="J40" s="1984"/>
      <c r="K40" s="1981" t="str">
        <f>+'FORM 1040-2'!T39</f>
        <v/>
      </c>
      <c r="L40" s="1982"/>
      <c r="M40" s="1367"/>
      <c r="N40" s="311" t="str">
        <f t="shared" si="1"/>
        <v/>
      </c>
    </row>
    <row r="41" spans="2:14" s="202" customFormat="1" ht="18" customHeight="1" thickTop="1" thickBot="1">
      <c r="B41" s="310">
        <v>34</v>
      </c>
      <c r="C41" s="1981" t="str">
        <f>IF('FORM 1040-2'!B40="","",('FORM 1040-2'!B40))</f>
        <v/>
      </c>
      <c r="D41" s="1982"/>
      <c r="E41" s="1981" t="str">
        <f>IF('FORM 1040-2'!C40="","",('FORM 1040-2'!C40))</f>
        <v/>
      </c>
      <c r="F41" s="1982"/>
      <c r="G41" s="1028" t="str">
        <f>+'FORM 1040-2'!U40</f>
        <v/>
      </c>
      <c r="H41" s="1369" t="str">
        <f>IF(C41="Efficiency",'FORM 1040-9'!$J$36,IF(C41="1 Bedroom",'FORM 1040-9'!$K$36,IF(C41="2 Bedroom",'FORM 1040-9'!$M$36,IF(C41="3 Bedroom",'FORM 1040-9'!$N$36,IF(C41="4 Bedroom",'FORM 1040-9'!$O$36,"")))))</f>
        <v/>
      </c>
      <c r="I41" s="1983" t="str">
        <f t="shared" si="0"/>
        <v/>
      </c>
      <c r="J41" s="1984"/>
      <c r="K41" s="1981" t="str">
        <f>+'FORM 1040-2'!T40</f>
        <v/>
      </c>
      <c r="L41" s="1982"/>
      <c r="M41" s="1367"/>
      <c r="N41" s="311" t="str">
        <f t="shared" si="1"/>
        <v/>
      </c>
    </row>
    <row r="42" spans="2:14" s="202" customFormat="1" ht="18" customHeight="1" thickTop="1" thickBot="1">
      <c r="B42" s="310">
        <v>35</v>
      </c>
      <c r="C42" s="1981" t="str">
        <f>IF('FORM 1040-2'!B41="","",('FORM 1040-2'!B41))</f>
        <v/>
      </c>
      <c r="D42" s="1982"/>
      <c r="E42" s="1981" t="str">
        <f>IF('FORM 1040-2'!C41="","",('FORM 1040-2'!C41))</f>
        <v/>
      </c>
      <c r="F42" s="1982"/>
      <c r="G42" s="1028" t="str">
        <f>+'FORM 1040-2'!U41</f>
        <v/>
      </c>
      <c r="H42" s="1369" t="str">
        <f>IF(C42="Efficiency",'FORM 1040-9'!$J$36,IF(C42="1 Bedroom",'FORM 1040-9'!$K$36,IF(C42="2 Bedroom",'FORM 1040-9'!$M$36,IF(C42="3 Bedroom",'FORM 1040-9'!$N$36,IF(C42="4 Bedroom",'FORM 1040-9'!$O$36,"")))))</f>
        <v/>
      </c>
      <c r="I42" s="1983" t="str">
        <f t="shared" si="0"/>
        <v/>
      </c>
      <c r="J42" s="1984"/>
      <c r="K42" s="1981" t="str">
        <f>+'FORM 1040-2'!T41</f>
        <v/>
      </c>
      <c r="L42" s="1982"/>
      <c r="M42" s="1367"/>
      <c r="N42" s="311" t="str">
        <f t="shared" si="1"/>
        <v/>
      </c>
    </row>
    <row r="43" spans="2:14" s="202" customFormat="1" ht="27" customHeight="1" thickTop="1" thickBot="1">
      <c r="C43" s="1987" t="s">
        <v>665</v>
      </c>
      <c r="D43" s="1988"/>
      <c r="E43" s="1989">
        <f>SUM(E8:F42)</f>
        <v>0</v>
      </c>
      <c r="F43" s="1990"/>
    </row>
    <row r="44" spans="2:14" ht="18" customHeight="1" thickTop="1" thickBot="1">
      <c r="H44" s="1375" t="s">
        <v>2463</v>
      </c>
      <c r="I44" s="1373" t="str">
        <f>IF('FORM 1040-9'!N62="","",('FORM 1040-9'!N62))</f>
        <v/>
      </c>
      <c r="J44" s="1374" t="s">
        <v>2462</v>
      </c>
    </row>
    <row r="45" spans="2:14" ht="13.5" thickTop="1"/>
    <row r="46" spans="2:14" ht="15.95" customHeight="1"/>
  </sheetData>
  <sheetProtection algorithmName="SHA-512" hashValue="djbwGw0sMZ9Xf0bsCT9kn+h+hqATS5t8zR5YFcucVz9ONYb5DAUv/cWhvfxyNOLCnqDqEqr+dY6FoCvv5DFHaA==" saltValue="MMtOjIuLDmfG9hmN0coJ8A==" spinCount="100000" sheet="1" objects="1" scenarios="1"/>
  <mergeCells count="155">
    <mergeCell ref="K23:L23"/>
    <mergeCell ref="K24:L24"/>
    <mergeCell ref="K25:L25"/>
    <mergeCell ref="K26:L26"/>
    <mergeCell ref="K27:L27"/>
    <mergeCell ref="K28:L28"/>
    <mergeCell ref="K20:L20"/>
    <mergeCell ref="K21:L21"/>
    <mergeCell ref="K22:L22"/>
    <mergeCell ref="E33:F33"/>
    <mergeCell ref="K8:L8"/>
    <mergeCell ref="K9:L9"/>
    <mergeCell ref="K10:L10"/>
    <mergeCell ref="K11:L11"/>
    <mergeCell ref="K12:L12"/>
    <mergeCell ref="K13:L13"/>
    <mergeCell ref="K14:L14"/>
    <mergeCell ref="K15:L15"/>
    <mergeCell ref="E26:F26"/>
    <mergeCell ref="E27:F27"/>
    <mergeCell ref="E28:F28"/>
    <mergeCell ref="E29:F29"/>
    <mergeCell ref="E30:F30"/>
    <mergeCell ref="E31:F31"/>
    <mergeCell ref="I33:J33"/>
    <mergeCell ref="E9:F9"/>
    <mergeCell ref="K29:L29"/>
    <mergeCell ref="K30:L30"/>
    <mergeCell ref="K31:L31"/>
    <mergeCell ref="E8:F8"/>
    <mergeCell ref="I14:J14"/>
    <mergeCell ref="I15:J15"/>
    <mergeCell ref="I16:J16"/>
    <mergeCell ref="C43:D43"/>
    <mergeCell ref="E43:F43"/>
    <mergeCell ref="C9:D9"/>
    <mergeCell ref="C10:D10"/>
    <mergeCell ref="C11:D11"/>
    <mergeCell ref="C12:D12"/>
    <mergeCell ref="C13:D13"/>
    <mergeCell ref="C14:D14"/>
    <mergeCell ref="C15:D15"/>
    <mergeCell ref="C25:D25"/>
    <mergeCell ref="C41:D41"/>
    <mergeCell ref="E41:F41"/>
    <mergeCell ref="C37:D37"/>
    <mergeCell ref="E37:F37"/>
    <mergeCell ref="C34:D34"/>
    <mergeCell ref="E34:F34"/>
    <mergeCell ref="E10:F10"/>
    <mergeCell ref="E11:F11"/>
    <mergeCell ref="E12:F12"/>
    <mergeCell ref="E13:F13"/>
    <mergeCell ref="E14:F14"/>
    <mergeCell ref="E15:F15"/>
    <mergeCell ref="E16:F16"/>
    <mergeCell ref="E32:F32"/>
    <mergeCell ref="I37:J37"/>
    <mergeCell ref="C38:D38"/>
    <mergeCell ref="E38:F38"/>
    <mergeCell ref="I38:J38"/>
    <mergeCell ref="K37:L37"/>
    <mergeCell ref="K38:L38"/>
    <mergeCell ref="C35:D35"/>
    <mergeCell ref="E35:F35"/>
    <mergeCell ref="I35:J35"/>
    <mergeCell ref="C36:D36"/>
    <mergeCell ref="E36:F36"/>
    <mergeCell ref="I36:J36"/>
    <mergeCell ref="K35:L35"/>
    <mergeCell ref="K36:L36"/>
    <mergeCell ref="I41:J41"/>
    <mergeCell ref="C42:D42"/>
    <mergeCell ref="E42:F42"/>
    <mergeCell ref="I42:J42"/>
    <mergeCell ref="K41:L41"/>
    <mergeCell ref="K42:L42"/>
    <mergeCell ref="C39:D39"/>
    <mergeCell ref="E39:F39"/>
    <mergeCell ref="I39:J39"/>
    <mergeCell ref="C40:D40"/>
    <mergeCell ref="E40:F40"/>
    <mergeCell ref="I40:J40"/>
    <mergeCell ref="K39:L39"/>
    <mergeCell ref="K40:L40"/>
    <mergeCell ref="I34:J34"/>
    <mergeCell ref="C26:D26"/>
    <mergeCell ref="C27:D27"/>
    <mergeCell ref="I25:J25"/>
    <mergeCell ref="E25:F25"/>
    <mergeCell ref="K32:L32"/>
    <mergeCell ref="K33:L33"/>
    <mergeCell ref="K34:L34"/>
    <mergeCell ref="C19:D19"/>
    <mergeCell ref="I19:J19"/>
    <mergeCell ref="E19:F19"/>
    <mergeCell ref="C28:D28"/>
    <mergeCell ref="C29:D29"/>
    <mergeCell ref="C30:D30"/>
    <mergeCell ref="C31:D31"/>
    <mergeCell ref="C32:D32"/>
    <mergeCell ref="C33:D33"/>
    <mergeCell ref="I28:J28"/>
    <mergeCell ref="I29:J29"/>
    <mergeCell ref="I30:J30"/>
    <mergeCell ref="I31:J31"/>
    <mergeCell ref="I32:J32"/>
    <mergeCell ref="I27:J27"/>
    <mergeCell ref="I26:J26"/>
    <mergeCell ref="I18:J18"/>
    <mergeCell ref="K17:L17"/>
    <mergeCell ref="K18:L18"/>
    <mergeCell ref="C16:D16"/>
    <mergeCell ref="E18:F18"/>
    <mergeCell ref="C17:D17"/>
    <mergeCell ref="I17:J17"/>
    <mergeCell ref="K16:L16"/>
    <mergeCell ref="E17:F17"/>
    <mergeCell ref="E6:F6"/>
    <mergeCell ref="I6:J6"/>
    <mergeCell ref="C7:D7"/>
    <mergeCell ref="E7:F7"/>
    <mergeCell ref="I7:J7"/>
    <mergeCell ref="K6:L6"/>
    <mergeCell ref="K7:L7"/>
    <mergeCell ref="I13:J13"/>
    <mergeCell ref="I9:J9"/>
    <mergeCell ref="I10:J10"/>
    <mergeCell ref="I11:J11"/>
    <mergeCell ref="I8:J8"/>
    <mergeCell ref="I12:J12"/>
    <mergeCell ref="B3:M3"/>
    <mergeCell ref="C5:D5"/>
    <mergeCell ref="E5:F5"/>
    <mergeCell ref="I5:J5"/>
    <mergeCell ref="K5:L5"/>
    <mergeCell ref="C24:D24"/>
    <mergeCell ref="I24:J24"/>
    <mergeCell ref="E24:F24"/>
    <mergeCell ref="C22:D22"/>
    <mergeCell ref="I22:J22"/>
    <mergeCell ref="C23:D23"/>
    <mergeCell ref="I23:J23"/>
    <mergeCell ref="E22:F22"/>
    <mergeCell ref="E23:F23"/>
    <mergeCell ref="C20:D20"/>
    <mergeCell ref="I20:J20"/>
    <mergeCell ref="C21:D21"/>
    <mergeCell ref="I21:J21"/>
    <mergeCell ref="E20:F20"/>
    <mergeCell ref="E21:F21"/>
    <mergeCell ref="C18:D18"/>
    <mergeCell ref="C8:D8"/>
    <mergeCell ref="K19:L19"/>
    <mergeCell ref="C6:D6"/>
  </mergeCells>
  <pageMargins left="0.75" right="0.5" top="0.5" bottom="0.75" header="0" footer="0.5"/>
  <pageSetup scale="80" firstPageNumber="22" orientation="portrait" verticalDpi="300" r:id="rId1"/>
  <headerFooter alignWithMargins="0">
    <oddFooter>&amp;C&amp;A&amp;R&amp;D &amp;T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9"/>
  <dimension ref="C2:GR56"/>
  <sheetViews>
    <sheetView workbookViewId="0"/>
  </sheetViews>
  <sheetFormatPr defaultRowHeight="12.75"/>
  <sheetData>
    <row r="2" spans="3:200">
      <c r="C2" s="850" t="s">
        <v>989</v>
      </c>
      <c r="D2">
        <v>1</v>
      </c>
      <c r="E2" s="850" t="s">
        <v>831</v>
      </c>
      <c r="F2">
        <v>1</v>
      </c>
      <c r="G2" s="850" t="s">
        <v>473</v>
      </c>
      <c r="H2">
        <v>1</v>
      </c>
      <c r="I2" s="850" t="s">
        <v>842</v>
      </c>
      <c r="J2">
        <v>1</v>
      </c>
      <c r="K2" s="850" t="s">
        <v>421</v>
      </c>
      <c r="L2">
        <v>1</v>
      </c>
      <c r="M2" s="850" t="s">
        <v>39</v>
      </c>
      <c r="N2">
        <v>1</v>
      </c>
      <c r="O2" s="850" t="s">
        <v>818</v>
      </c>
      <c r="P2">
        <v>3</v>
      </c>
      <c r="Q2" s="850" t="s">
        <v>738</v>
      </c>
      <c r="R2">
        <v>1</v>
      </c>
      <c r="S2" s="850" t="s">
        <v>875</v>
      </c>
      <c r="T2">
        <v>1</v>
      </c>
      <c r="U2" s="850" t="s">
        <v>806</v>
      </c>
      <c r="V2">
        <v>1</v>
      </c>
      <c r="W2" s="850" t="s">
        <v>910</v>
      </c>
      <c r="X2">
        <v>1</v>
      </c>
      <c r="Y2" s="850" t="s">
        <v>796</v>
      </c>
      <c r="Z2">
        <v>1</v>
      </c>
      <c r="AA2" s="850" t="s">
        <v>354</v>
      </c>
      <c r="AB2">
        <v>1</v>
      </c>
      <c r="AC2" s="850" t="s">
        <v>535</v>
      </c>
      <c r="AD2">
        <v>1</v>
      </c>
      <c r="AE2" s="850" t="s">
        <v>644</v>
      </c>
      <c r="AF2">
        <v>1</v>
      </c>
      <c r="AG2" s="850" t="s">
        <v>555</v>
      </c>
      <c r="AH2">
        <v>1</v>
      </c>
      <c r="AI2" s="850" t="s">
        <v>116</v>
      </c>
      <c r="AJ2">
        <v>1</v>
      </c>
      <c r="AK2" s="850" t="s">
        <v>989</v>
      </c>
      <c r="AL2">
        <v>1</v>
      </c>
      <c r="AM2" s="850" t="s">
        <v>831</v>
      </c>
      <c r="AN2">
        <v>1</v>
      </c>
      <c r="AO2" s="850" t="s">
        <v>473</v>
      </c>
      <c r="AP2">
        <v>1</v>
      </c>
      <c r="AQ2" s="850" t="s">
        <v>842</v>
      </c>
      <c r="AR2">
        <v>1</v>
      </c>
      <c r="AS2" s="850" t="s">
        <v>421</v>
      </c>
      <c r="AT2">
        <v>1</v>
      </c>
      <c r="AU2" s="850" t="s">
        <v>39</v>
      </c>
      <c r="AV2">
        <v>1</v>
      </c>
      <c r="AW2" s="850" t="s">
        <v>818</v>
      </c>
      <c r="AX2">
        <v>3</v>
      </c>
      <c r="AY2" s="850" t="s">
        <v>738</v>
      </c>
      <c r="AZ2">
        <v>1</v>
      </c>
      <c r="BA2" s="850" t="s">
        <v>875</v>
      </c>
      <c r="BB2">
        <v>1</v>
      </c>
      <c r="BC2" s="850" t="s">
        <v>806</v>
      </c>
      <c r="BD2">
        <v>1</v>
      </c>
      <c r="BE2" s="850" t="s">
        <v>910</v>
      </c>
      <c r="BF2">
        <v>1</v>
      </c>
      <c r="BG2" s="850" t="s">
        <v>2389</v>
      </c>
      <c r="BH2">
        <v>1</v>
      </c>
      <c r="BI2" s="850" t="s">
        <v>354</v>
      </c>
      <c r="BJ2">
        <v>1</v>
      </c>
      <c r="BK2" s="850" t="s">
        <v>535</v>
      </c>
      <c r="BL2">
        <v>1</v>
      </c>
      <c r="BM2" s="850" t="s">
        <v>644</v>
      </c>
      <c r="BN2">
        <v>1</v>
      </c>
      <c r="BO2" s="850" t="s">
        <v>555</v>
      </c>
      <c r="BP2">
        <v>1</v>
      </c>
      <c r="BQ2" s="850" t="s">
        <v>116</v>
      </c>
      <c r="BR2">
        <v>1</v>
      </c>
      <c r="BS2" s="850" t="s">
        <v>989</v>
      </c>
      <c r="BT2">
        <v>1</v>
      </c>
      <c r="BU2" s="850" t="s">
        <v>831</v>
      </c>
      <c r="BV2">
        <v>1</v>
      </c>
      <c r="BW2" s="850" t="s">
        <v>473</v>
      </c>
      <c r="BX2">
        <v>1</v>
      </c>
      <c r="BY2" s="850" t="s">
        <v>842</v>
      </c>
      <c r="BZ2">
        <v>1</v>
      </c>
      <c r="CA2" s="850" t="s">
        <v>421</v>
      </c>
      <c r="CB2">
        <v>1</v>
      </c>
      <c r="CC2" s="850" t="s">
        <v>39</v>
      </c>
      <c r="CD2">
        <v>1</v>
      </c>
      <c r="CE2" s="850" t="s">
        <v>818</v>
      </c>
      <c r="CF2">
        <v>3</v>
      </c>
      <c r="CG2" s="850" t="s">
        <v>738</v>
      </c>
      <c r="CH2">
        <v>1</v>
      </c>
      <c r="CI2" s="850" t="s">
        <v>875</v>
      </c>
      <c r="CJ2">
        <v>1</v>
      </c>
      <c r="CK2" s="850" t="s">
        <v>806</v>
      </c>
      <c r="CL2">
        <v>1</v>
      </c>
      <c r="CM2" s="850" t="s">
        <v>910</v>
      </c>
      <c r="CN2">
        <v>1</v>
      </c>
      <c r="CO2" s="850" t="s">
        <v>2389</v>
      </c>
      <c r="CP2">
        <v>1</v>
      </c>
      <c r="CQ2" s="850" t="s">
        <v>354</v>
      </c>
      <c r="CR2">
        <v>1</v>
      </c>
      <c r="CS2" s="850" t="s">
        <v>535</v>
      </c>
      <c r="CT2">
        <v>1</v>
      </c>
      <c r="CU2" s="850" t="s">
        <v>644</v>
      </c>
      <c r="CV2">
        <v>1</v>
      </c>
      <c r="CW2" s="850" t="s">
        <v>555</v>
      </c>
      <c r="CX2">
        <v>1</v>
      </c>
      <c r="CY2" s="850" t="s">
        <v>116</v>
      </c>
      <c r="CZ2">
        <v>1</v>
      </c>
      <c r="DA2" s="850" t="s">
        <v>989</v>
      </c>
      <c r="DB2">
        <v>1</v>
      </c>
      <c r="DC2" s="850" t="s">
        <v>831</v>
      </c>
      <c r="DD2">
        <v>1</v>
      </c>
      <c r="DE2" s="850" t="s">
        <v>473</v>
      </c>
      <c r="DF2">
        <v>1</v>
      </c>
      <c r="DG2" s="850" t="s">
        <v>842</v>
      </c>
      <c r="DH2">
        <v>1</v>
      </c>
      <c r="DI2" s="850" t="s">
        <v>421</v>
      </c>
      <c r="DJ2">
        <v>1</v>
      </c>
      <c r="DK2" s="850" t="s">
        <v>39</v>
      </c>
      <c r="DL2">
        <v>1</v>
      </c>
      <c r="DM2" s="850" t="s">
        <v>818</v>
      </c>
      <c r="DN2">
        <v>3</v>
      </c>
      <c r="DO2" s="850" t="s">
        <v>738</v>
      </c>
      <c r="DP2">
        <v>1</v>
      </c>
      <c r="DQ2" s="850" t="s">
        <v>875</v>
      </c>
      <c r="DR2">
        <v>1</v>
      </c>
      <c r="DS2" s="850" t="s">
        <v>806</v>
      </c>
      <c r="DT2">
        <v>1</v>
      </c>
      <c r="DU2" s="850" t="s">
        <v>910</v>
      </c>
      <c r="DV2">
        <v>1</v>
      </c>
      <c r="DW2" s="850" t="s">
        <v>2389</v>
      </c>
      <c r="DX2">
        <v>1</v>
      </c>
      <c r="DY2" s="850" t="s">
        <v>354</v>
      </c>
      <c r="DZ2">
        <v>1</v>
      </c>
      <c r="EA2" s="850" t="s">
        <v>535</v>
      </c>
      <c r="EB2">
        <v>1</v>
      </c>
      <c r="EC2" s="850" t="s">
        <v>644</v>
      </c>
      <c r="ED2">
        <v>1</v>
      </c>
      <c r="EE2" s="850" t="s">
        <v>555</v>
      </c>
      <c r="EF2">
        <v>1</v>
      </c>
      <c r="EG2" s="850" t="s">
        <v>116</v>
      </c>
      <c r="EH2">
        <v>1</v>
      </c>
      <c r="EI2" s="850" t="s">
        <v>989</v>
      </c>
      <c r="EJ2">
        <v>1</v>
      </c>
      <c r="EK2" s="850" t="s">
        <v>473</v>
      </c>
      <c r="EL2">
        <v>1</v>
      </c>
      <c r="EM2" s="850" t="s">
        <v>421</v>
      </c>
      <c r="EN2">
        <v>1</v>
      </c>
      <c r="EO2" s="850" t="s">
        <v>39</v>
      </c>
      <c r="EP2">
        <v>1</v>
      </c>
      <c r="EQ2" s="850" t="s">
        <v>818</v>
      </c>
      <c r="ER2">
        <v>3</v>
      </c>
      <c r="ES2" s="850" t="s">
        <v>738</v>
      </c>
      <c r="ET2">
        <v>1</v>
      </c>
      <c r="EU2" s="850" t="s">
        <v>875</v>
      </c>
      <c r="EV2">
        <v>1</v>
      </c>
      <c r="EW2" s="850" t="s">
        <v>806</v>
      </c>
      <c r="EX2">
        <v>1</v>
      </c>
      <c r="EY2" s="850" t="s">
        <v>910</v>
      </c>
      <c r="EZ2">
        <v>1</v>
      </c>
      <c r="FA2" s="850" t="s">
        <v>2389</v>
      </c>
      <c r="FB2">
        <v>1</v>
      </c>
      <c r="FC2" s="850" t="s">
        <v>354</v>
      </c>
      <c r="FD2">
        <v>1</v>
      </c>
      <c r="FE2" s="850" t="s">
        <v>535</v>
      </c>
      <c r="FF2">
        <v>1</v>
      </c>
      <c r="FG2" s="850" t="s">
        <v>644</v>
      </c>
      <c r="FH2">
        <v>1</v>
      </c>
      <c r="FI2" s="850" t="s">
        <v>555</v>
      </c>
      <c r="FJ2">
        <v>1</v>
      </c>
      <c r="FK2" s="850" t="s">
        <v>116</v>
      </c>
      <c r="FL2">
        <v>1</v>
      </c>
      <c r="FM2" s="850" t="s">
        <v>989</v>
      </c>
      <c r="FN2">
        <v>1</v>
      </c>
      <c r="FO2" s="850" t="s">
        <v>473</v>
      </c>
      <c r="FP2">
        <v>1</v>
      </c>
      <c r="FQ2" s="850" t="s">
        <v>421</v>
      </c>
      <c r="FR2">
        <v>1</v>
      </c>
      <c r="FS2" s="850" t="s">
        <v>39</v>
      </c>
      <c r="FT2">
        <v>1</v>
      </c>
      <c r="FU2" s="850" t="s">
        <v>818</v>
      </c>
      <c r="FV2">
        <v>3</v>
      </c>
      <c r="FW2" s="850" t="s">
        <v>738</v>
      </c>
      <c r="FX2">
        <v>1</v>
      </c>
      <c r="FY2" s="850" t="s">
        <v>875</v>
      </c>
      <c r="FZ2">
        <v>1</v>
      </c>
      <c r="GA2" s="850" t="s">
        <v>806</v>
      </c>
      <c r="GB2">
        <v>1</v>
      </c>
      <c r="GC2" s="850" t="s">
        <v>910</v>
      </c>
      <c r="GD2">
        <v>1</v>
      </c>
      <c r="GE2" s="850" t="s">
        <v>2389</v>
      </c>
      <c r="GF2">
        <v>1</v>
      </c>
      <c r="GG2" s="850" t="s">
        <v>354</v>
      </c>
      <c r="GH2">
        <v>1</v>
      </c>
      <c r="GI2" s="850" t="s">
        <v>535</v>
      </c>
      <c r="GJ2">
        <v>1</v>
      </c>
      <c r="GK2" s="850" t="s">
        <v>644</v>
      </c>
      <c r="GL2">
        <v>1</v>
      </c>
      <c r="GM2" s="850" t="s">
        <v>555</v>
      </c>
      <c r="GN2">
        <v>1</v>
      </c>
      <c r="GO2" s="850" t="s">
        <v>116</v>
      </c>
      <c r="GP2">
        <v>1</v>
      </c>
      <c r="GQ2" s="850" t="s">
        <v>2478</v>
      </c>
      <c r="GR2">
        <v>-1</v>
      </c>
    </row>
    <row r="3" spans="3:200">
      <c r="C3" s="850" t="s">
        <v>990</v>
      </c>
      <c r="D3">
        <v>2</v>
      </c>
      <c r="E3" s="850" t="s">
        <v>832</v>
      </c>
      <c r="F3">
        <v>2</v>
      </c>
      <c r="G3" s="850" t="s">
        <v>474</v>
      </c>
      <c r="H3">
        <v>2</v>
      </c>
      <c r="I3" s="850" t="s">
        <v>169</v>
      </c>
      <c r="J3">
        <v>2</v>
      </c>
      <c r="K3" s="850" t="s">
        <v>422</v>
      </c>
      <c r="L3">
        <v>2</v>
      </c>
      <c r="M3" s="850" t="s">
        <v>1463</v>
      </c>
      <c r="N3">
        <v>2</v>
      </c>
      <c r="O3" s="850" t="s">
        <v>819</v>
      </c>
      <c r="P3">
        <v>5</v>
      </c>
      <c r="Q3" s="850" t="s">
        <v>739</v>
      </c>
      <c r="R3">
        <v>2</v>
      </c>
      <c r="S3" s="850" t="s">
        <v>312</v>
      </c>
      <c r="T3">
        <v>2</v>
      </c>
      <c r="U3" s="850" t="s">
        <v>803</v>
      </c>
      <c r="V3">
        <v>2</v>
      </c>
      <c r="W3" s="850" t="s">
        <v>911</v>
      </c>
      <c r="X3">
        <v>2</v>
      </c>
      <c r="Y3" s="850" t="s">
        <v>66</v>
      </c>
      <c r="Z3">
        <v>3</v>
      </c>
      <c r="AA3" s="850" t="s">
        <v>358</v>
      </c>
      <c r="AB3">
        <v>2</v>
      </c>
      <c r="AC3" s="850" t="s">
        <v>536</v>
      </c>
      <c r="AD3">
        <v>2</v>
      </c>
      <c r="AE3" s="850" t="s">
        <v>645</v>
      </c>
      <c r="AF3">
        <v>2</v>
      </c>
      <c r="AG3" s="850" t="s">
        <v>556</v>
      </c>
      <c r="AH3">
        <v>2</v>
      </c>
      <c r="AI3" s="850" t="s">
        <v>117</v>
      </c>
      <c r="AJ3">
        <v>2</v>
      </c>
      <c r="AK3" s="850" t="s">
        <v>990</v>
      </c>
      <c r="AL3">
        <v>2</v>
      </c>
      <c r="AM3" s="850" t="s">
        <v>832</v>
      </c>
      <c r="AN3">
        <v>2</v>
      </c>
      <c r="AO3" s="850" t="s">
        <v>474</v>
      </c>
      <c r="AP3">
        <v>2</v>
      </c>
      <c r="AQ3" s="850" t="s">
        <v>169</v>
      </c>
      <c r="AR3">
        <v>2</v>
      </c>
      <c r="AS3" s="850" t="s">
        <v>422</v>
      </c>
      <c r="AT3">
        <v>2</v>
      </c>
      <c r="AU3" s="850" t="s">
        <v>1463</v>
      </c>
      <c r="AV3">
        <v>2</v>
      </c>
      <c r="AW3" s="850" t="s">
        <v>819</v>
      </c>
      <c r="AX3">
        <v>5</v>
      </c>
      <c r="AY3" s="850" t="s">
        <v>739</v>
      </c>
      <c r="AZ3">
        <v>2</v>
      </c>
      <c r="BA3" s="850" t="s">
        <v>312</v>
      </c>
      <c r="BB3">
        <v>2</v>
      </c>
      <c r="BC3" s="850" t="s">
        <v>800</v>
      </c>
      <c r="BD3">
        <v>3</v>
      </c>
      <c r="BE3" s="850" t="s">
        <v>911</v>
      </c>
      <c r="BF3">
        <v>2</v>
      </c>
      <c r="BG3" s="850" t="s">
        <v>66</v>
      </c>
      <c r="BH3">
        <v>3</v>
      </c>
      <c r="BI3" s="850" t="s">
        <v>358</v>
      </c>
      <c r="BJ3">
        <v>2</v>
      </c>
      <c r="BK3" s="850" t="s">
        <v>536</v>
      </c>
      <c r="BL3">
        <v>2</v>
      </c>
      <c r="BM3" s="850" t="s">
        <v>645</v>
      </c>
      <c r="BN3">
        <v>2</v>
      </c>
      <c r="BO3" s="850" t="s">
        <v>556</v>
      </c>
      <c r="BP3">
        <v>2</v>
      </c>
      <c r="BQ3" s="850" t="s">
        <v>117</v>
      </c>
      <c r="BR3">
        <v>2</v>
      </c>
      <c r="BS3" s="850" t="s">
        <v>990</v>
      </c>
      <c r="BT3">
        <v>2</v>
      </c>
      <c r="BU3" s="850" t="s">
        <v>832</v>
      </c>
      <c r="BV3">
        <v>2</v>
      </c>
      <c r="BW3" s="850" t="s">
        <v>474</v>
      </c>
      <c r="BX3">
        <v>2</v>
      </c>
      <c r="BY3" s="850" t="s">
        <v>169</v>
      </c>
      <c r="BZ3">
        <v>2</v>
      </c>
      <c r="CA3" s="850" t="s">
        <v>422</v>
      </c>
      <c r="CB3">
        <v>2</v>
      </c>
      <c r="CC3" s="850" t="s">
        <v>1463</v>
      </c>
      <c r="CD3">
        <v>2</v>
      </c>
      <c r="CE3" s="850" t="s">
        <v>819</v>
      </c>
      <c r="CF3">
        <v>5</v>
      </c>
      <c r="CG3" s="850" t="s">
        <v>739</v>
      </c>
      <c r="CH3">
        <v>2</v>
      </c>
      <c r="CI3" s="850" t="s">
        <v>312</v>
      </c>
      <c r="CJ3">
        <v>2</v>
      </c>
      <c r="CK3" s="850" t="s">
        <v>800</v>
      </c>
      <c r="CL3">
        <v>3</v>
      </c>
      <c r="CM3" s="850" t="s">
        <v>911</v>
      </c>
      <c r="CN3">
        <v>2</v>
      </c>
      <c r="CO3" s="850" t="s">
        <v>66</v>
      </c>
      <c r="CP3">
        <v>3</v>
      </c>
      <c r="CQ3" s="850" t="s">
        <v>358</v>
      </c>
      <c r="CR3">
        <v>2</v>
      </c>
      <c r="CS3" s="850" t="s">
        <v>536</v>
      </c>
      <c r="CT3">
        <v>2</v>
      </c>
      <c r="CU3" s="850" t="s">
        <v>645</v>
      </c>
      <c r="CV3">
        <v>2</v>
      </c>
      <c r="CW3" s="850" t="s">
        <v>556</v>
      </c>
      <c r="CX3">
        <v>2</v>
      </c>
      <c r="CY3" s="850" t="s">
        <v>117</v>
      </c>
      <c r="CZ3">
        <v>2</v>
      </c>
      <c r="DA3" s="850" t="s">
        <v>990</v>
      </c>
      <c r="DB3">
        <v>2</v>
      </c>
      <c r="DC3" s="850" t="s">
        <v>832</v>
      </c>
      <c r="DD3">
        <v>2</v>
      </c>
      <c r="DE3" s="850" t="s">
        <v>474</v>
      </c>
      <c r="DF3">
        <v>2</v>
      </c>
      <c r="DG3" s="850" t="s">
        <v>169</v>
      </c>
      <c r="DH3">
        <v>2</v>
      </c>
      <c r="DI3" s="850" t="s">
        <v>422</v>
      </c>
      <c r="DJ3">
        <v>2</v>
      </c>
      <c r="DK3" s="850" t="s">
        <v>1463</v>
      </c>
      <c r="DL3">
        <v>2</v>
      </c>
      <c r="DM3" s="850" t="s">
        <v>819</v>
      </c>
      <c r="DN3">
        <v>5</v>
      </c>
      <c r="DO3" s="850" t="s">
        <v>739</v>
      </c>
      <c r="DP3">
        <v>2</v>
      </c>
      <c r="DQ3" s="850" t="s">
        <v>312</v>
      </c>
      <c r="DR3">
        <v>2</v>
      </c>
      <c r="DS3" s="850" t="s">
        <v>800</v>
      </c>
      <c r="DT3">
        <v>3</v>
      </c>
      <c r="DU3" s="850" t="s">
        <v>911</v>
      </c>
      <c r="DV3">
        <v>2</v>
      </c>
      <c r="DW3" s="850" t="s">
        <v>66</v>
      </c>
      <c r="DX3">
        <v>3</v>
      </c>
      <c r="DY3" s="850" t="s">
        <v>358</v>
      </c>
      <c r="DZ3">
        <v>2</v>
      </c>
      <c r="EA3" s="850" t="s">
        <v>536</v>
      </c>
      <c r="EB3">
        <v>2</v>
      </c>
      <c r="EC3" s="850" t="s">
        <v>645</v>
      </c>
      <c r="ED3">
        <v>2</v>
      </c>
      <c r="EE3" s="850" t="s">
        <v>556</v>
      </c>
      <c r="EF3">
        <v>2</v>
      </c>
      <c r="EG3" s="850" t="s">
        <v>117</v>
      </c>
      <c r="EH3">
        <v>2</v>
      </c>
      <c r="EI3" s="850" t="s">
        <v>990</v>
      </c>
      <c r="EJ3">
        <v>2</v>
      </c>
      <c r="EK3" s="850" t="s">
        <v>474</v>
      </c>
      <c r="EL3">
        <v>2</v>
      </c>
      <c r="EM3" s="850" t="s">
        <v>422</v>
      </c>
      <c r="EN3">
        <v>2</v>
      </c>
      <c r="EO3" s="850" t="s">
        <v>1463</v>
      </c>
      <c r="EP3">
        <v>2</v>
      </c>
      <c r="EQ3" s="850" t="s">
        <v>819</v>
      </c>
      <c r="ER3">
        <v>5</v>
      </c>
      <c r="ES3" s="850" t="s">
        <v>739</v>
      </c>
      <c r="ET3">
        <v>2</v>
      </c>
      <c r="EU3" s="850" t="s">
        <v>312</v>
      </c>
      <c r="EV3">
        <v>2</v>
      </c>
      <c r="EW3" s="850" t="s">
        <v>800</v>
      </c>
      <c r="EX3">
        <v>3</v>
      </c>
      <c r="EY3" s="850" t="s">
        <v>911</v>
      </c>
      <c r="EZ3">
        <v>2</v>
      </c>
      <c r="FA3" s="850" t="s">
        <v>66</v>
      </c>
      <c r="FB3">
        <v>3</v>
      </c>
      <c r="FC3" s="850" t="s">
        <v>358</v>
      </c>
      <c r="FD3">
        <v>2</v>
      </c>
      <c r="FE3" s="850" t="s">
        <v>536</v>
      </c>
      <c r="FF3">
        <v>2</v>
      </c>
      <c r="FG3" s="850" t="s">
        <v>645</v>
      </c>
      <c r="FH3">
        <v>2</v>
      </c>
      <c r="FI3" s="850" t="s">
        <v>556</v>
      </c>
      <c r="FJ3">
        <v>2</v>
      </c>
      <c r="FK3" s="850" t="s">
        <v>117</v>
      </c>
      <c r="FL3">
        <v>2</v>
      </c>
      <c r="FM3" s="850" t="s">
        <v>990</v>
      </c>
      <c r="FN3">
        <v>2</v>
      </c>
      <c r="FO3" s="850" t="s">
        <v>474</v>
      </c>
      <c r="FP3">
        <v>2</v>
      </c>
      <c r="FQ3" s="850" t="s">
        <v>422</v>
      </c>
      <c r="FR3">
        <v>2</v>
      </c>
      <c r="FS3" s="850" t="s">
        <v>1463</v>
      </c>
      <c r="FT3">
        <v>2</v>
      </c>
      <c r="FU3" s="850" t="s">
        <v>819</v>
      </c>
      <c r="FV3">
        <v>5</v>
      </c>
      <c r="FW3" s="850" t="s">
        <v>739</v>
      </c>
      <c r="FX3">
        <v>2</v>
      </c>
      <c r="FY3" s="850" t="s">
        <v>312</v>
      </c>
      <c r="FZ3">
        <v>2</v>
      </c>
      <c r="GA3" s="850" t="s">
        <v>800</v>
      </c>
      <c r="GB3">
        <v>3</v>
      </c>
      <c r="GC3" s="850" t="s">
        <v>911</v>
      </c>
      <c r="GD3">
        <v>2</v>
      </c>
      <c r="GE3" s="850" t="s">
        <v>66</v>
      </c>
      <c r="GF3">
        <v>3</v>
      </c>
      <c r="GG3" s="850" t="s">
        <v>358</v>
      </c>
      <c r="GH3">
        <v>2</v>
      </c>
      <c r="GI3" s="850" t="s">
        <v>536</v>
      </c>
      <c r="GJ3">
        <v>2</v>
      </c>
      <c r="GK3" s="850" t="s">
        <v>645</v>
      </c>
      <c r="GL3">
        <v>2</v>
      </c>
      <c r="GM3" s="850" t="s">
        <v>556</v>
      </c>
      <c r="GN3">
        <v>2</v>
      </c>
      <c r="GO3" s="850" t="s">
        <v>117</v>
      </c>
      <c r="GP3">
        <v>2</v>
      </c>
      <c r="GQ3" s="850" t="s">
        <v>417</v>
      </c>
      <c r="GR3">
        <v>-2</v>
      </c>
    </row>
    <row r="4" spans="3:200">
      <c r="C4" s="850" t="s">
        <v>991</v>
      </c>
      <c r="D4">
        <v>3</v>
      </c>
      <c r="E4" s="850" t="s">
        <v>833</v>
      </c>
      <c r="F4">
        <v>3</v>
      </c>
      <c r="G4" s="850" t="s">
        <v>475</v>
      </c>
      <c r="H4">
        <v>3</v>
      </c>
      <c r="I4" s="850" t="s">
        <v>843</v>
      </c>
      <c r="J4">
        <v>3</v>
      </c>
      <c r="K4" s="850" t="s">
        <v>423</v>
      </c>
      <c r="L4">
        <v>3</v>
      </c>
      <c r="O4" s="850" t="s">
        <v>817</v>
      </c>
      <c r="P4">
        <v>1</v>
      </c>
      <c r="Q4" s="850" t="s">
        <v>740</v>
      </c>
      <c r="R4">
        <v>3</v>
      </c>
      <c r="S4" s="850" t="s">
        <v>225</v>
      </c>
      <c r="T4">
        <v>3</v>
      </c>
      <c r="U4" s="850" t="s">
        <v>800</v>
      </c>
      <c r="V4">
        <v>3</v>
      </c>
      <c r="W4" s="850" t="s">
        <v>912</v>
      </c>
      <c r="X4">
        <v>3</v>
      </c>
      <c r="Y4" s="850" t="s">
        <v>797</v>
      </c>
      <c r="Z4">
        <v>4</v>
      </c>
      <c r="AA4" s="850" t="s">
        <v>789</v>
      </c>
      <c r="AB4">
        <v>3</v>
      </c>
      <c r="AC4" s="850" t="s">
        <v>537</v>
      </c>
      <c r="AD4">
        <v>3</v>
      </c>
      <c r="AE4" s="850" t="s">
        <v>291</v>
      </c>
      <c r="AF4">
        <v>3</v>
      </c>
      <c r="AG4" s="850" t="s">
        <v>557</v>
      </c>
      <c r="AH4">
        <v>3</v>
      </c>
      <c r="AI4" s="850" t="s">
        <v>118</v>
      </c>
      <c r="AJ4">
        <v>3</v>
      </c>
      <c r="AK4" s="850" t="s">
        <v>991</v>
      </c>
      <c r="AL4">
        <v>3</v>
      </c>
      <c r="AM4" s="850" t="s">
        <v>2026</v>
      </c>
      <c r="AN4">
        <v>15</v>
      </c>
      <c r="AO4" s="850" t="s">
        <v>475</v>
      </c>
      <c r="AP4">
        <v>3</v>
      </c>
      <c r="AQ4" s="850" t="s">
        <v>843</v>
      </c>
      <c r="AR4">
        <v>3</v>
      </c>
      <c r="AS4" s="850" t="s">
        <v>423</v>
      </c>
      <c r="AT4">
        <v>3</v>
      </c>
      <c r="AW4" s="850" t="s">
        <v>817</v>
      </c>
      <c r="AX4">
        <v>1</v>
      </c>
      <c r="AY4" s="850" t="s">
        <v>740</v>
      </c>
      <c r="AZ4">
        <v>3</v>
      </c>
      <c r="BA4" s="850" t="s">
        <v>225</v>
      </c>
      <c r="BB4">
        <v>3</v>
      </c>
      <c r="BC4" s="850" t="s">
        <v>2027</v>
      </c>
      <c r="BD4">
        <v>4</v>
      </c>
      <c r="BE4" s="850" t="s">
        <v>912</v>
      </c>
      <c r="BF4">
        <v>3</v>
      </c>
      <c r="BG4" s="850" t="s">
        <v>797</v>
      </c>
      <c r="BH4">
        <v>4</v>
      </c>
      <c r="BI4" s="850" t="s">
        <v>1931</v>
      </c>
      <c r="BJ4">
        <v>3</v>
      </c>
      <c r="BK4" s="850" t="s">
        <v>537</v>
      </c>
      <c r="BL4">
        <v>3</v>
      </c>
      <c r="BM4" s="850" t="s">
        <v>291</v>
      </c>
      <c r="BN4">
        <v>3</v>
      </c>
      <c r="BO4" s="850" t="s">
        <v>557</v>
      </c>
      <c r="BP4">
        <v>3</v>
      </c>
      <c r="BQ4" s="850" t="s">
        <v>118</v>
      </c>
      <c r="BR4">
        <v>3</v>
      </c>
      <c r="BS4" s="850" t="s">
        <v>991</v>
      </c>
      <c r="BT4">
        <v>3</v>
      </c>
      <c r="BU4" s="850" t="s">
        <v>2026</v>
      </c>
      <c r="BV4">
        <v>15</v>
      </c>
      <c r="BW4" s="850" t="s">
        <v>475</v>
      </c>
      <c r="BX4">
        <v>3</v>
      </c>
      <c r="BY4" s="850" t="s">
        <v>843</v>
      </c>
      <c r="BZ4">
        <v>3</v>
      </c>
      <c r="CA4" s="850" t="s">
        <v>423</v>
      </c>
      <c r="CB4">
        <v>3</v>
      </c>
      <c r="CE4" s="850" t="s">
        <v>817</v>
      </c>
      <c r="CF4">
        <v>1</v>
      </c>
      <c r="CG4" s="850" t="s">
        <v>740</v>
      </c>
      <c r="CH4">
        <v>3</v>
      </c>
      <c r="CI4" s="850" t="s">
        <v>225</v>
      </c>
      <c r="CJ4">
        <v>3</v>
      </c>
      <c r="CK4" s="850" t="s">
        <v>2027</v>
      </c>
      <c r="CL4">
        <v>4</v>
      </c>
      <c r="CM4" s="850" t="s">
        <v>912</v>
      </c>
      <c r="CN4">
        <v>3</v>
      </c>
      <c r="CO4" s="850" t="s">
        <v>797</v>
      </c>
      <c r="CP4">
        <v>4</v>
      </c>
      <c r="CQ4" s="850" t="s">
        <v>1931</v>
      </c>
      <c r="CR4">
        <v>3</v>
      </c>
      <c r="CS4" s="850" t="s">
        <v>537</v>
      </c>
      <c r="CT4">
        <v>3</v>
      </c>
      <c r="CU4" s="850" t="s">
        <v>291</v>
      </c>
      <c r="CV4">
        <v>3</v>
      </c>
      <c r="CW4" s="850" t="s">
        <v>557</v>
      </c>
      <c r="CX4">
        <v>3</v>
      </c>
      <c r="CY4" s="850" t="s">
        <v>118</v>
      </c>
      <c r="CZ4">
        <v>3</v>
      </c>
      <c r="DA4" s="850" t="s">
        <v>991</v>
      </c>
      <c r="DB4">
        <v>3</v>
      </c>
      <c r="DC4" s="850" t="s">
        <v>2026</v>
      </c>
      <c r="DD4">
        <v>15</v>
      </c>
      <c r="DE4" s="850" t="s">
        <v>475</v>
      </c>
      <c r="DF4">
        <v>3</v>
      </c>
      <c r="DG4" s="850" t="s">
        <v>843</v>
      </c>
      <c r="DH4">
        <v>3</v>
      </c>
      <c r="DI4" s="850" t="s">
        <v>423</v>
      </c>
      <c r="DJ4">
        <v>3</v>
      </c>
      <c r="DM4" s="850" t="s">
        <v>817</v>
      </c>
      <c r="DN4">
        <v>1</v>
      </c>
      <c r="DO4" s="850" t="s">
        <v>740</v>
      </c>
      <c r="DP4">
        <v>3</v>
      </c>
      <c r="DQ4" s="850" t="s">
        <v>225</v>
      </c>
      <c r="DR4">
        <v>3</v>
      </c>
      <c r="DS4" s="850" t="s">
        <v>2027</v>
      </c>
      <c r="DT4">
        <v>4</v>
      </c>
      <c r="DU4" s="850" t="s">
        <v>912</v>
      </c>
      <c r="DV4">
        <v>3</v>
      </c>
      <c r="DW4" s="850" t="s">
        <v>797</v>
      </c>
      <c r="DX4">
        <v>4</v>
      </c>
      <c r="DY4" s="850" t="s">
        <v>1931</v>
      </c>
      <c r="DZ4">
        <v>3</v>
      </c>
      <c r="EA4" s="850" t="s">
        <v>537</v>
      </c>
      <c r="EB4">
        <v>3</v>
      </c>
      <c r="EC4" s="850" t="s">
        <v>291</v>
      </c>
      <c r="ED4">
        <v>3</v>
      </c>
      <c r="EE4" s="850" t="s">
        <v>557</v>
      </c>
      <c r="EF4">
        <v>3</v>
      </c>
      <c r="EG4" s="850" t="s">
        <v>118</v>
      </c>
      <c r="EH4">
        <v>3</v>
      </c>
      <c r="EI4" s="850" t="s">
        <v>991</v>
      </c>
      <c r="EJ4">
        <v>3</v>
      </c>
      <c r="EK4" s="850" t="s">
        <v>475</v>
      </c>
      <c r="EL4">
        <v>3</v>
      </c>
      <c r="EM4" s="850" t="s">
        <v>423</v>
      </c>
      <c r="EN4">
        <v>3</v>
      </c>
      <c r="EQ4" s="850" t="s">
        <v>817</v>
      </c>
      <c r="ER4">
        <v>1</v>
      </c>
      <c r="ES4" s="850" t="s">
        <v>740</v>
      </c>
      <c r="ET4">
        <v>3</v>
      </c>
      <c r="EU4" s="850" t="s">
        <v>225</v>
      </c>
      <c r="EV4">
        <v>3</v>
      </c>
      <c r="EW4" s="850" t="s">
        <v>2027</v>
      </c>
      <c r="EX4">
        <v>4</v>
      </c>
      <c r="EY4" s="850" t="s">
        <v>912</v>
      </c>
      <c r="EZ4">
        <v>3</v>
      </c>
      <c r="FA4" s="850" t="s">
        <v>797</v>
      </c>
      <c r="FB4">
        <v>4</v>
      </c>
      <c r="FC4" s="850" t="s">
        <v>1931</v>
      </c>
      <c r="FD4">
        <v>3</v>
      </c>
      <c r="FE4" s="850" t="s">
        <v>537</v>
      </c>
      <c r="FF4">
        <v>3</v>
      </c>
      <c r="FG4" s="850" t="s">
        <v>291</v>
      </c>
      <c r="FH4">
        <v>3</v>
      </c>
      <c r="FI4" s="850" t="s">
        <v>557</v>
      </c>
      <c r="FJ4">
        <v>3</v>
      </c>
      <c r="FK4" s="850" t="s">
        <v>118</v>
      </c>
      <c r="FL4">
        <v>3</v>
      </c>
      <c r="FM4" s="850" t="s">
        <v>991</v>
      </c>
      <c r="FN4">
        <v>3</v>
      </c>
      <c r="FO4" s="850" t="s">
        <v>475</v>
      </c>
      <c r="FP4">
        <v>3</v>
      </c>
      <c r="FQ4" s="850" t="s">
        <v>423</v>
      </c>
      <c r="FR4">
        <v>3</v>
      </c>
      <c r="FU4" s="850" t="s">
        <v>817</v>
      </c>
      <c r="FV4">
        <v>1</v>
      </c>
      <c r="FW4" s="850" t="s">
        <v>740</v>
      </c>
      <c r="FX4">
        <v>3</v>
      </c>
      <c r="FY4" s="850" t="s">
        <v>225</v>
      </c>
      <c r="FZ4">
        <v>3</v>
      </c>
      <c r="GA4" s="850" t="s">
        <v>2027</v>
      </c>
      <c r="GB4">
        <v>4</v>
      </c>
      <c r="GC4" s="850" t="s">
        <v>912</v>
      </c>
      <c r="GD4">
        <v>3</v>
      </c>
      <c r="GE4" s="850" t="s">
        <v>797</v>
      </c>
      <c r="GF4">
        <v>4</v>
      </c>
      <c r="GG4" s="850" t="s">
        <v>1931</v>
      </c>
      <c r="GH4">
        <v>3</v>
      </c>
      <c r="GI4" s="850" t="s">
        <v>537</v>
      </c>
      <c r="GJ4">
        <v>3</v>
      </c>
      <c r="GK4" s="850" t="s">
        <v>291</v>
      </c>
      <c r="GL4">
        <v>3</v>
      </c>
      <c r="GM4" s="850" t="s">
        <v>557</v>
      </c>
      <c r="GN4">
        <v>3</v>
      </c>
      <c r="GO4" s="850" t="s">
        <v>118</v>
      </c>
      <c r="GP4">
        <v>3</v>
      </c>
    </row>
    <row r="5" spans="3:200">
      <c r="C5" s="850" t="s">
        <v>992</v>
      </c>
      <c r="D5">
        <v>7</v>
      </c>
      <c r="E5" s="850" t="s">
        <v>834</v>
      </c>
      <c r="F5">
        <v>4</v>
      </c>
      <c r="G5" s="850" t="s">
        <v>476</v>
      </c>
      <c r="H5">
        <v>4</v>
      </c>
      <c r="I5" s="850" t="s">
        <v>844</v>
      </c>
      <c r="J5">
        <v>4</v>
      </c>
      <c r="K5" s="850" t="s">
        <v>424</v>
      </c>
      <c r="L5">
        <v>4</v>
      </c>
      <c r="O5" s="850" t="s">
        <v>824</v>
      </c>
      <c r="P5">
        <v>11</v>
      </c>
      <c r="Q5" s="850" t="s">
        <v>741</v>
      </c>
      <c r="R5">
        <v>4</v>
      </c>
      <c r="U5" s="850" t="s">
        <v>841</v>
      </c>
      <c r="V5">
        <v>4</v>
      </c>
      <c r="W5" s="850" t="s">
        <v>913</v>
      </c>
      <c r="X5">
        <v>4</v>
      </c>
      <c r="AA5" s="850" t="s">
        <v>790</v>
      </c>
      <c r="AB5">
        <v>5</v>
      </c>
      <c r="AC5" s="850" t="s">
        <v>538</v>
      </c>
      <c r="AD5">
        <v>4</v>
      </c>
      <c r="AG5" s="850" t="s">
        <v>215</v>
      </c>
      <c r="AH5">
        <v>4</v>
      </c>
      <c r="AI5" s="850" t="s">
        <v>119</v>
      </c>
      <c r="AJ5">
        <v>4</v>
      </c>
      <c r="AK5" s="850" t="s">
        <v>992</v>
      </c>
      <c r="AL5">
        <v>7</v>
      </c>
      <c r="AO5" s="850" t="s">
        <v>476</v>
      </c>
      <c r="AP5">
        <v>4</v>
      </c>
      <c r="AQ5" s="850" t="s">
        <v>844</v>
      </c>
      <c r="AR5">
        <v>4</v>
      </c>
      <c r="AS5" s="850" t="s">
        <v>424</v>
      </c>
      <c r="AT5">
        <v>4</v>
      </c>
      <c r="AW5" s="850" t="s">
        <v>824</v>
      </c>
      <c r="AX5">
        <v>11</v>
      </c>
      <c r="AY5" s="850" t="s">
        <v>741</v>
      </c>
      <c r="AZ5">
        <v>4</v>
      </c>
      <c r="BE5" s="850" t="s">
        <v>913</v>
      </c>
      <c r="BF5">
        <v>4</v>
      </c>
      <c r="BG5" s="850" t="s">
        <v>1915</v>
      </c>
      <c r="BH5">
        <v>2</v>
      </c>
      <c r="BI5" s="850" t="s">
        <v>1810</v>
      </c>
      <c r="BJ5">
        <v>5</v>
      </c>
      <c r="BK5" s="850" t="s">
        <v>538</v>
      </c>
      <c r="BL5">
        <v>4</v>
      </c>
      <c r="BO5" s="850" t="s">
        <v>215</v>
      </c>
      <c r="BP5">
        <v>4</v>
      </c>
      <c r="BQ5" s="850" t="s">
        <v>119</v>
      </c>
      <c r="BR5">
        <v>4</v>
      </c>
      <c r="BS5" s="850" t="s">
        <v>992</v>
      </c>
      <c r="BT5">
        <v>7</v>
      </c>
      <c r="BW5" s="850" t="s">
        <v>476</v>
      </c>
      <c r="BX5">
        <v>4</v>
      </c>
      <c r="BY5" s="850" t="s">
        <v>844</v>
      </c>
      <c r="BZ5">
        <v>4</v>
      </c>
      <c r="CA5" s="850" t="s">
        <v>424</v>
      </c>
      <c r="CB5">
        <v>4</v>
      </c>
      <c r="CE5" s="850" t="s">
        <v>824</v>
      </c>
      <c r="CF5">
        <v>11</v>
      </c>
      <c r="CG5" s="850" t="s">
        <v>741</v>
      </c>
      <c r="CH5">
        <v>4</v>
      </c>
      <c r="CM5" s="850" t="s">
        <v>913</v>
      </c>
      <c r="CN5">
        <v>4</v>
      </c>
      <c r="CO5" s="850" t="s">
        <v>1915</v>
      </c>
      <c r="CP5">
        <v>2</v>
      </c>
      <c r="CQ5" s="850" t="s">
        <v>1810</v>
      </c>
      <c r="CR5">
        <v>5</v>
      </c>
      <c r="CS5" s="850" t="s">
        <v>538</v>
      </c>
      <c r="CT5">
        <v>4</v>
      </c>
      <c r="CW5" s="850" t="s">
        <v>215</v>
      </c>
      <c r="CX5">
        <v>4</v>
      </c>
      <c r="CY5" s="850" t="s">
        <v>119</v>
      </c>
      <c r="CZ5">
        <v>4</v>
      </c>
      <c r="DA5" s="850" t="s">
        <v>992</v>
      </c>
      <c r="DB5">
        <v>7</v>
      </c>
      <c r="DE5" s="850" t="s">
        <v>476</v>
      </c>
      <c r="DF5">
        <v>4</v>
      </c>
      <c r="DG5" s="850" t="s">
        <v>844</v>
      </c>
      <c r="DH5">
        <v>4</v>
      </c>
      <c r="DI5" s="850" t="s">
        <v>424</v>
      </c>
      <c r="DJ5">
        <v>4</v>
      </c>
      <c r="DM5" s="850" t="s">
        <v>824</v>
      </c>
      <c r="DN5">
        <v>11</v>
      </c>
      <c r="DO5" s="850" t="s">
        <v>741</v>
      </c>
      <c r="DP5">
        <v>4</v>
      </c>
      <c r="DU5" s="850" t="s">
        <v>913</v>
      </c>
      <c r="DV5">
        <v>4</v>
      </c>
      <c r="DW5" s="850" t="s">
        <v>2438</v>
      </c>
      <c r="DX5">
        <v>5</v>
      </c>
      <c r="DY5" s="850" t="s">
        <v>1810</v>
      </c>
      <c r="DZ5">
        <v>5</v>
      </c>
      <c r="EA5" s="850" t="s">
        <v>538</v>
      </c>
      <c r="EB5">
        <v>4</v>
      </c>
      <c r="EE5" s="850" t="s">
        <v>215</v>
      </c>
      <c r="EF5">
        <v>4</v>
      </c>
      <c r="EG5" s="850" t="s">
        <v>119</v>
      </c>
      <c r="EH5">
        <v>4</v>
      </c>
      <c r="EI5" s="850" t="s">
        <v>992</v>
      </c>
      <c r="EJ5">
        <v>7</v>
      </c>
      <c r="EK5" s="850" t="s">
        <v>476</v>
      </c>
      <c r="EL5">
        <v>4</v>
      </c>
      <c r="EM5" s="850" t="s">
        <v>424</v>
      </c>
      <c r="EN5">
        <v>4</v>
      </c>
      <c r="EQ5" s="850" t="s">
        <v>824</v>
      </c>
      <c r="ER5">
        <v>11</v>
      </c>
      <c r="ES5" s="850" t="s">
        <v>741</v>
      </c>
      <c r="ET5">
        <v>4</v>
      </c>
      <c r="EY5" s="850" t="s">
        <v>913</v>
      </c>
      <c r="EZ5">
        <v>4</v>
      </c>
      <c r="FA5" s="850" t="s">
        <v>2438</v>
      </c>
      <c r="FB5">
        <v>5</v>
      </c>
      <c r="FC5" s="850" t="s">
        <v>1810</v>
      </c>
      <c r="FD5">
        <v>5</v>
      </c>
      <c r="FE5" s="850" t="s">
        <v>538</v>
      </c>
      <c r="FF5">
        <v>4</v>
      </c>
      <c r="FI5" s="850" t="s">
        <v>215</v>
      </c>
      <c r="FJ5">
        <v>4</v>
      </c>
      <c r="FK5" s="850" t="s">
        <v>119</v>
      </c>
      <c r="FL5">
        <v>4</v>
      </c>
      <c r="FM5" s="850" t="s">
        <v>992</v>
      </c>
      <c r="FN5">
        <v>7</v>
      </c>
      <c r="FO5" s="850" t="s">
        <v>476</v>
      </c>
      <c r="FP5">
        <v>4</v>
      </c>
      <c r="FQ5" s="850" t="s">
        <v>424</v>
      </c>
      <c r="FR5">
        <v>4</v>
      </c>
      <c r="FU5" s="850" t="s">
        <v>824</v>
      </c>
      <c r="FV5">
        <v>11</v>
      </c>
      <c r="FW5" s="850" t="s">
        <v>2472</v>
      </c>
      <c r="FX5">
        <v>4</v>
      </c>
      <c r="GC5" s="850" t="s">
        <v>913</v>
      </c>
      <c r="GD5">
        <v>4</v>
      </c>
      <c r="GE5" s="850" t="s">
        <v>2438</v>
      </c>
      <c r="GF5">
        <v>5</v>
      </c>
      <c r="GG5" s="850" t="s">
        <v>1810</v>
      </c>
      <c r="GH5">
        <v>5</v>
      </c>
      <c r="GI5" s="850" t="s">
        <v>538</v>
      </c>
      <c r="GJ5">
        <v>4</v>
      </c>
      <c r="GM5" s="850" t="s">
        <v>215</v>
      </c>
      <c r="GN5">
        <v>4</v>
      </c>
      <c r="GO5" s="850" t="s">
        <v>119</v>
      </c>
      <c r="GP5">
        <v>4</v>
      </c>
    </row>
    <row r="6" spans="3:200">
      <c r="C6" s="850" t="s">
        <v>993</v>
      </c>
      <c r="D6">
        <v>9</v>
      </c>
      <c r="E6" s="850" t="s">
        <v>835</v>
      </c>
      <c r="F6">
        <v>5</v>
      </c>
      <c r="G6" s="850" t="s">
        <v>477</v>
      </c>
      <c r="H6">
        <v>5</v>
      </c>
      <c r="I6" s="850" t="s">
        <v>845</v>
      </c>
      <c r="J6">
        <v>5</v>
      </c>
      <c r="K6" s="850" t="s">
        <v>425</v>
      </c>
      <c r="L6">
        <v>5</v>
      </c>
      <c r="O6" s="850" t="s">
        <v>825</v>
      </c>
      <c r="P6">
        <v>14</v>
      </c>
      <c r="Q6" s="850" t="s">
        <v>742</v>
      </c>
      <c r="R6">
        <v>5</v>
      </c>
      <c r="W6" s="850" t="s">
        <v>914</v>
      </c>
      <c r="X6">
        <v>5</v>
      </c>
      <c r="AA6" s="850" t="s">
        <v>791</v>
      </c>
      <c r="AB6">
        <v>6</v>
      </c>
      <c r="AC6" s="850" t="s">
        <v>539</v>
      </c>
      <c r="AD6">
        <v>5</v>
      </c>
      <c r="AI6" s="850" t="s">
        <v>120</v>
      </c>
      <c r="AJ6">
        <v>5</v>
      </c>
      <c r="AK6" s="850" t="s">
        <v>2388</v>
      </c>
      <c r="AL6">
        <v>10</v>
      </c>
      <c r="AO6" s="850" t="s">
        <v>477</v>
      </c>
      <c r="AP6">
        <v>5</v>
      </c>
      <c r="AQ6" s="850" t="s">
        <v>845</v>
      </c>
      <c r="AR6">
        <v>5</v>
      </c>
      <c r="AS6" s="850" t="s">
        <v>425</v>
      </c>
      <c r="AT6">
        <v>5</v>
      </c>
      <c r="AW6" s="850" t="s">
        <v>825</v>
      </c>
      <c r="AX6">
        <v>14</v>
      </c>
      <c r="AY6" s="850" t="s">
        <v>742</v>
      </c>
      <c r="AZ6">
        <v>5</v>
      </c>
      <c r="BE6" s="850" t="s">
        <v>914</v>
      </c>
      <c r="BF6">
        <v>5</v>
      </c>
      <c r="BI6" s="850" t="s">
        <v>1932</v>
      </c>
      <c r="BJ6">
        <v>6</v>
      </c>
      <c r="BK6" s="850" t="s">
        <v>539</v>
      </c>
      <c r="BL6">
        <v>5</v>
      </c>
      <c r="BQ6" s="850" t="s">
        <v>120</v>
      </c>
      <c r="BR6">
        <v>5</v>
      </c>
      <c r="BS6" s="850" t="s">
        <v>2388</v>
      </c>
      <c r="BT6">
        <v>10</v>
      </c>
      <c r="BW6" s="850" t="s">
        <v>477</v>
      </c>
      <c r="BX6">
        <v>5</v>
      </c>
      <c r="BY6" s="850" t="s">
        <v>845</v>
      </c>
      <c r="BZ6">
        <v>5</v>
      </c>
      <c r="CA6" s="850" t="s">
        <v>425</v>
      </c>
      <c r="CB6">
        <v>5</v>
      </c>
      <c r="CE6" s="850" t="s">
        <v>825</v>
      </c>
      <c r="CF6">
        <v>14</v>
      </c>
      <c r="CG6" s="850" t="s">
        <v>742</v>
      </c>
      <c r="CH6">
        <v>5</v>
      </c>
      <c r="CM6" s="850" t="s">
        <v>914</v>
      </c>
      <c r="CN6">
        <v>5</v>
      </c>
      <c r="CQ6" s="850" t="s">
        <v>1932</v>
      </c>
      <c r="CR6">
        <v>6</v>
      </c>
      <c r="CS6" s="850" t="s">
        <v>539</v>
      </c>
      <c r="CT6">
        <v>5</v>
      </c>
      <c r="CY6" s="850" t="s">
        <v>120</v>
      </c>
      <c r="CZ6">
        <v>5</v>
      </c>
      <c r="DA6" s="850" t="s">
        <v>2388</v>
      </c>
      <c r="DB6">
        <v>10</v>
      </c>
      <c r="DE6" s="850" t="s">
        <v>477</v>
      </c>
      <c r="DF6">
        <v>5</v>
      </c>
      <c r="DG6" s="850" t="s">
        <v>845</v>
      </c>
      <c r="DH6">
        <v>5</v>
      </c>
      <c r="DI6" s="850" t="s">
        <v>425</v>
      </c>
      <c r="DJ6">
        <v>5</v>
      </c>
      <c r="DM6" s="850" t="s">
        <v>825</v>
      </c>
      <c r="DN6">
        <v>14</v>
      </c>
      <c r="DO6" s="850" t="s">
        <v>742</v>
      </c>
      <c r="DP6">
        <v>5</v>
      </c>
      <c r="DU6" s="850" t="s">
        <v>914</v>
      </c>
      <c r="DV6">
        <v>5</v>
      </c>
      <c r="DW6" s="850" t="s">
        <v>1915</v>
      </c>
      <c r="DX6">
        <v>2</v>
      </c>
      <c r="DY6" s="850" t="s">
        <v>1932</v>
      </c>
      <c r="DZ6">
        <v>6</v>
      </c>
      <c r="EA6" s="850" t="s">
        <v>539</v>
      </c>
      <c r="EB6">
        <v>5</v>
      </c>
      <c r="EG6" s="850" t="s">
        <v>120</v>
      </c>
      <c r="EH6">
        <v>5</v>
      </c>
      <c r="EI6" s="850" t="s">
        <v>2388</v>
      </c>
      <c r="EJ6">
        <v>10</v>
      </c>
      <c r="EK6" s="850" t="s">
        <v>477</v>
      </c>
      <c r="EL6">
        <v>5</v>
      </c>
      <c r="EM6" s="850" t="s">
        <v>425</v>
      </c>
      <c r="EN6">
        <v>5</v>
      </c>
      <c r="EQ6" s="850" t="s">
        <v>825</v>
      </c>
      <c r="ER6">
        <v>14</v>
      </c>
      <c r="ES6" s="850" t="s">
        <v>742</v>
      </c>
      <c r="ET6">
        <v>5</v>
      </c>
      <c r="EY6" s="850" t="s">
        <v>914</v>
      </c>
      <c r="EZ6">
        <v>5</v>
      </c>
      <c r="FA6" s="850" t="s">
        <v>1915</v>
      </c>
      <c r="FB6">
        <v>2</v>
      </c>
      <c r="FC6" s="850" t="s">
        <v>1932</v>
      </c>
      <c r="FD6">
        <v>6</v>
      </c>
      <c r="FE6" s="850" t="s">
        <v>539</v>
      </c>
      <c r="FF6">
        <v>5</v>
      </c>
      <c r="FK6" s="850" t="s">
        <v>120</v>
      </c>
      <c r="FL6">
        <v>5</v>
      </c>
      <c r="FM6" s="850" t="s">
        <v>2388</v>
      </c>
      <c r="FN6">
        <v>10</v>
      </c>
      <c r="FO6" s="850" t="s">
        <v>477</v>
      </c>
      <c r="FP6">
        <v>5</v>
      </c>
      <c r="FQ6" s="850" t="s">
        <v>425</v>
      </c>
      <c r="FR6">
        <v>5</v>
      </c>
      <c r="FU6" s="850" t="s">
        <v>825</v>
      </c>
      <c r="FV6">
        <v>14</v>
      </c>
      <c r="FW6" s="850" t="s">
        <v>742</v>
      </c>
      <c r="FX6">
        <v>5</v>
      </c>
      <c r="GC6" s="850" t="s">
        <v>914</v>
      </c>
      <c r="GD6">
        <v>5</v>
      </c>
      <c r="GE6" s="850" t="s">
        <v>1915</v>
      </c>
      <c r="GF6">
        <v>2</v>
      </c>
      <c r="GG6" s="850" t="s">
        <v>1932</v>
      </c>
      <c r="GH6">
        <v>6</v>
      </c>
      <c r="GI6" s="850" t="s">
        <v>539</v>
      </c>
      <c r="GJ6">
        <v>5</v>
      </c>
      <c r="GO6" s="850" t="s">
        <v>120</v>
      </c>
      <c r="GP6">
        <v>5</v>
      </c>
    </row>
    <row r="7" spans="3:200">
      <c r="C7" s="850" t="s">
        <v>994</v>
      </c>
      <c r="D7">
        <v>4</v>
      </c>
      <c r="E7" s="850" t="s">
        <v>836</v>
      </c>
      <c r="F7">
        <v>6</v>
      </c>
      <c r="G7" s="850" t="s">
        <v>478</v>
      </c>
      <c r="H7">
        <v>6</v>
      </c>
      <c r="I7" s="850" t="s">
        <v>742</v>
      </c>
      <c r="J7">
        <v>6</v>
      </c>
      <c r="K7" s="850" t="s">
        <v>426</v>
      </c>
      <c r="L7">
        <v>6</v>
      </c>
      <c r="O7" s="850" t="s">
        <v>1462</v>
      </c>
      <c r="P7">
        <v>13</v>
      </c>
      <c r="AA7" s="850" t="s">
        <v>792</v>
      </c>
      <c r="AB7">
        <v>7</v>
      </c>
      <c r="AC7" s="850" t="s">
        <v>540</v>
      </c>
      <c r="AD7">
        <v>6</v>
      </c>
      <c r="AO7" s="850" t="s">
        <v>478</v>
      </c>
      <c r="AP7">
        <v>6</v>
      </c>
      <c r="AQ7" s="850" t="s">
        <v>742</v>
      </c>
      <c r="AR7">
        <v>6</v>
      </c>
      <c r="AS7" s="850" t="s">
        <v>426</v>
      </c>
      <c r="AT7">
        <v>6</v>
      </c>
      <c r="AW7" s="850" t="s">
        <v>1462</v>
      </c>
      <c r="AX7">
        <v>13</v>
      </c>
      <c r="BI7" s="850" t="s">
        <v>1933</v>
      </c>
      <c r="BJ7">
        <v>7</v>
      </c>
      <c r="BK7" s="850" t="s">
        <v>540</v>
      </c>
      <c r="BL7">
        <v>6</v>
      </c>
      <c r="BS7" s="850" t="s">
        <v>2416</v>
      </c>
      <c r="BT7">
        <v>11</v>
      </c>
      <c r="BW7" s="850" t="s">
        <v>478</v>
      </c>
      <c r="BX7">
        <v>6</v>
      </c>
      <c r="BY7" s="850" t="s">
        <v>742</v>
      </c>
      <c r="BZ7">
        <v>6</v>
      </c>
      <c r="CA7" s="850" t="s">
        <v>426</v>
      </c>
      <c r="CB7">
        <v>6</v>
      </c>
      <c r="CE7" s="850" t="s">
        <v>1462</v>
      </c>
      <c r="CF7">
        <v>13</v>
      </c>
      <c r="CQ7" s="850" t="s">
        <v>1933</v>
      </c>
      <c r="CR7">
        <v>7</v>
      </c>
      <c r="CS7" s="850" t="s">
        <v>540</v>
      </c>
      <c r="CT7">
        <v>6</v>
      </c>
      <c r="DA7" s="850" t="s">
        <v>2416</v>
      </c>
      <c r="DB7">
        <v>11</v>
      </c>
      <c r="DE7" s="850" t="s">
        <v>478</v>
      </c>
      <c r="DF7">
        <v>6</v>
      </c>
      <c r="DG7" s="850" t="s">
        <v>742</v>
      </c>
      <c r="DH7">
        <v>6</v>
      </c>
      <c r="DI7" s="850" t="s">
        <v>426</v>
      </c>
      <c r="DJ7">
        <v>6</v>
      </c>
      <c r="DM7" s="850" t="s">
        <v>1462</v>
      </c>
      <c r="DN7">
        <v>13</v>
      </c>
      <c r="DY7" s="850" t="s">
        <v>1933</v>
      </c>
      <c r="DZ7">
        <v>7</v>
      </c>
      <c r="EA7" s="850" t="s">
        <v>540</v>
      </c>
      <c r="EB7">
        <v>6</v>
      </c>
      <c r="EI7" s="850" t="s">
        <v>2416</v>
      </c>
      <c r="EJ7">
        <v>11</v>
      </c>
      <c r="EK7" s="850" t="s">
        <v>478</v>
      </c>
      <c r="EL7">
        <v>6</v>
      </c>
      <c r="EM7" s="850" t="s">
        <v>426</v>
      </c>
      <c r="EN7">
        <v>6</v>
      </c>
      <c r="EQ7" s="850" t="s">
        <v>1462</v>
      </c>
      <c r="ER7">
        <v>13</v>
      </c>
      <c r="FC7" s="850" t="s">
        <v>1933</v>
      </c>
      <c r="FD7">
        <v>7</v>
      </c>
      <c r="FE7" s="850" t="s">
        <v>540</v>
      </c>
      <c r="FF7">
        <v>6</v>
      </c>
      <c r="FM7" s="850" t="s">
        <v>2416</v>
      </c>
      <c r="FN7">
        <v>11</v>
      </c>
      <c r="FO7" s="850" t="s">
        <v>478</v>
      </c>
      <c r="FP7">
        <v>6</v>
      </c>
      <c r="FQ7" s="850" t="s">
        <v>426</v>
      </c>
      <c r="FR7">
        <v>6</v>
      </c>
      <c r="FU7" s="850" t="s">
        <v>1462</v>
      </c>
      <c r="FV7">
        <v>13</v>
      </c>
      <c r="GG7" s="850" t="s">
        <v>1933</v>
      </c>
      <c r="GH7">
        <v>7</v>
      </c>
      <c r="GI7" s="850" t="s">
        <v>540</v>
      </c>
      <c r="GJ7">
        <v>6</v>
      </c>
    </row>
    <row r="8" spans="3:200">
      <c r="E8" s="850" t="s">
        <v>161</v>
      </c>
      <c r="F8">
        <v>7</v>
      </c>
      <c r="G8" s="850" t="s">
        <v>479</v>
      </c>
      <c r="H8">
        <v>7</v>
      </c>
      <c r="K8" s="850" t="s">
        <v>427</v>
      </c>
      <c r="L8">
        <v>7</v>
      </c>
      <c r="O8" s="850" t="s">
        <v>821</v>
      </c>
      <c r="P8">
        <v>8</v>
      </c>
      <c r="AA8" s="850" t="s">
        <v>1021</v>
      </c>
      <c r="AB8">
        <v>10</v>
      </c>
      <c r="AC8" s="850" t="s">
        <v>541</v>
      </c>
      <c r="AD8">
        <v>7</v>
      </c>
      <c r="AO8" s="850" t="s">
        <v>479</v>
      </c>
      <c r="AP8">
        <v>7</v>
      </c>
      <c r="AS8" s="850" t="s">
        <v>427</v>
      </c>
      <c r="AT8">
        <v>7</v>
      </c>
      <c r="AW8" s="850" t="s">
        <v>821</v>
      </c>
      <c r="AX8">
        <v>8</v>
      </c>
      <c r="BI8" s="850" t="s">
        <v>1934</v>
      </c>
      <c r="BJ8">
        <v>14</v>
      </c>
      <c r="BK8" s="850" t="s">
        <v>541</v>
      </c>
      <c r="BL8">
        <v>7</v>
      </c>
      <c r="BW8" s="850" t="s">
        <v>479</v>
      </c>
      <c r="BX8">
        <v>7</v>
      </c>
      <c r="CA8" s="850" t="s">
        <v>427</v>
      </c>
      <c r="CB8">
        <v>7</v>
      </c>
      <c r="CE8" s="850" t="s">
        <v>821</v>
      </c>
      <c r="CF8">
        <v>8</v>
      </c>
      <c r="CQ8" s="850" t="s">
        <v>1934</v>
      </c>
      <c r="CR8">
        <v>14</v>
      </c>
      <c r="CS8" s="850" t="s">
        <v>541</v>
      </c>
      <c r="CT8">
        <v>7</v>
      </c>
      <c r="DE8" s="850" t="s">
        <v>479</v>
      </c>
      <c r="DF8">
        <v>7</v>
      </c>
      <c r="DI8" s="850" t="s">
        <v>427</v>
      </c>
      <c r="DJ8">
        <v>7</v>
      </c>
      <c r="DM8" s="850" t="s">
        <v>821</v>
      </c>
      <c r="DN8">
        <v>8</v>
      </c>
      <c r="DY8" s="850" t="s">
        <v>1934</v>
      </c>
      <c r="DZ8">
        <v>14</v>
      </c>
      <c r="EA8" s="850" t="s">
        <v>541</v>
      </c>
      <c r="EB8">
        <v>7</v>
      </c>
      <c r="EK8" s="850" t="s">
        <v>479</v>
      </c>
      <c r="EL8">
        <v>7</v>
      </c>
      <c r="EM8" s="850" t="s">
        <v>427</v>
      </c>
      <c r="EN8">
        <v>7</v>
      </c>
      <c r="EQ8" s="850" t="s">
        <v>821</v>
      </c>
      <c r="ER8">
        <v>8</v>
      </c>
      <c r="FC8" s="850" t="s">
        <v>1934</v>
      </c>
      <c r="FD8">
        <v>14</v>
      </c>
      <c r="FE8" s="850" t="s">
        <v>541</v>
      </c>
      <c r="FF8">
        <v>7</v>
      </c>
      <c r="FO8" s="850" t="s">
        <v>479</v>
      </c>
      <c r="FP8">
        <v>7</v>
      </c>
      <c r="FQ8" s="850" t="s">
        <v>427</v>
      </c>
      <c r="FR8">
        <v>7</v>
      </c>
      <c r="FU8" s="850" t="s">
        <v>821</v>
      </c>
      <c r="FV8">
        <v>8</v>
      </c>
      <c r="GG8" s="850" t="s">
        <v>1934</v>
      </c>
      <c r="GH8">
        <v>14</v>
      </c>
      <c r="GI8" s="850" t="s">
        <v>541</v>
      </c>
      <c r="GJ8">
        <v>7</v>
      </c>
    </row>
    <row r="9" spans="3:200">
      <c r="E9" s="850" t="s">
        <v>837</v>
      </c>
      <c r="F9">
        <v>8</v>
      </c>
      <c r="G9" s="850" t="s">
        <v>480</v>
      </c>
      <c r="H9">
        <v>8</v>
      </c>
      <c r="K9" s="850" t="s">
        <v>428</v>
      </c>
      <c r="L9">
        <v>8</v>
      </c>
      <c r="O9" s="850" t="s">
        <v>822</v>
      </c>
      <c r="P9">
        <v>9</v>
      </c>
      <c r="AA9" s="850" t="s">
        <v>1022</v>
      </c>
      <c r="AB9">
        <v>9</v>
      </c>
      <c r="AC9" s="850" t="s">
        <v>542</v>
      </c>
      <c r="AD9">
        <v>8</v>
      </c>
      <c r="AO9" s="850" t="s">
        <v>480</v>
      </c>
      <c r="AP9">
        <v>8</v>
      </c>
      <c r="AS9" s="850" t="s">
        <v>428</v>
      </c>
      <c r="AT9">
        <v>8</v>
      </c>
      <c r="AW9" s="850" t="s">
        <v>822</v>
      </c>
      <c r="AX9">
        <v>9</v>
      </c>
      <c r="BI9" s="850" t="s">
        <v>1935</v>
      </c>
      <c r="BJ9">
        <v>15</v>
      </c>
      <c r="BK9" s="850" t="s">
        <v>542</v>
      </c>
      <c r="BL9">
        <v>8</v>
      </c>
      <c r="BW9" s="850" t="s">
        <v>480</v>
      </c>
      <c r="BX9">
        <v>8</v>
      </c>
      <c r="CA9" s="850" t="s">
        <v>428</v>
      </c>
      <c r="CB9">
        <v>8</v>
      </c>
      <c r="CE9" s="850" t="s">
        <v>822</v>
      </c>
      <c r="CF9">
        <v>9</v>
      </c>
      <c r="CQ9" s="850" t="s">
        <v>1935</v>
      </c>
      <c r="CR9">
        <v>15</v>
      </c>
      <c r="CS9" s="850" t="s">
        <v>542</v>
      </c>
      <c r="CT9">
        <v>8</v>
      </c>
      <c r="DE9" s="850" t="s">
        <v>480</v>
      </c>
      <c r="DF9">
        <v>8</v>
      </c>
      <c r="DI9" s="850" t="s">
        <v>428</v>
      </c>
      <c r="DJ9">
        <v>8</v>
      </c>
      <c r="DM9" s="850" t="s">
        <v>822</v>
      </c>
      <c r="DN9">
        <v>9</v>
      </c>
      <c r="DY9" s="850" t="s">
        <v>1935</v>
      </c>
      <c r="DZ9">
        <v>15</v>
      </c>
      <c r="EA9" s="850" t="s">
        <v>542</v>
      </c>
      <c r="EB9">
        <v>8</v>
      </c>
      <c r="EK9" s="850" t="s">
        <v>480</v>
      </c>
      <c r="EL9">
        <v>8</v>
      </c>
      <c r="EM9" s="850" t="s">
        <v>428</v>
      </c>
      <c r="EN9">
        <v>8</v>
      </c>
      <c r="EQ9" s="850" t="s">
        <v>822</v>
      </c>
      <c r="ER9">
        <v>9</v>
      </c>
      <c r="FC9" s="850" t="s">
        <v>1935</v>
      </c>
      <c r="FD9">
        <v>15</v>
      </c>
      <c r="FE9" s="850" t="s">
        <v>542</v>
      </c>
      <c r="FF9">
        <v>8</v>
      </c>
      <c r="FO9" s="850" t="s">
        <v>480</v>
      </c>
      <c r="FP9">
        <v>8</v>
      </c>
      <c r="FQ9" s="850" t="s">
        <v>428</v>
      </c>
      <c r="FR9">
        <v>8</v>
      </c>
      <c r="FU9" s="850" t="s">
        <v>822</v>
      </c>
      <c r="FV9">
        <v>9</v>
      </c>
      <c r="GG9" s="850" t="s">
        <v>1935</v>
      </c>
      <c r="GH9">
        <v>15</v>
      </c>
      <c r="GI9" s="850" t="s">
        <v>542</v>
      </c>
      <c r="GJ9">
        <v>8</v>
      </c>
    </row>
    <row r="10" spans="3:200">
      <c r="E10" s="850" t="s">
        <v>838</v>
      </c>
      <c r="F10">
        <v>10</v>
      </c>
      <c r="G10" s="850" t="s">
        <v>481</v>
      </c>
      <c r="H10">
        <v>9</v>
      </c>
      <c r="K10" s="850" t="s">
        <v>429</v>
      </c>
      <c r="L10">
        <v>9</v>
      </c>
      <c r="O10" s="850" t="s">
        <v>820</v>
      </c>
      <c r="P10">
        <v>7</v>
      </c>
      <c r="AC10" s="850" t="s">
        <v>543</v>
      </c>
      <c r="AD10">
        <v>9</v>
      </c>
      <c r="AO10" s="850" t="s">
        <v>481</v>
      </c>
      <c r="AP10">
        <v>9</v>
      </c>
      <c r="AS10" s="850" t="s">
        <v>429</v>
      </c>
      <c r="AT10">
        <v>9</v>
      </c>
      <c r="AW10" s="850" t="s">
        <v>820</v>
      </c>
      <c r="AX10">
        <v>7</v>
      </c>
      <c r="BI10" s="850" t="s">
        <v>1936</v>
      </c>
      <c r="BJ10">
        <v>9</v>
      </c>
      <c r="BK10" s="850" t="s">
        <v>543</v>
      </c>
      <c r="BL10">
        <v>9</v>
      </c>
      <c r="BW10" s="850" t="s">
        <v>481</v>
      </c>
      <c r="BX10">
        <v>9</v>
      </c>
      <c r="CA10" s="850" t="s">
        <v>429</v>
      </c>
      <c r="CB10">
        <v>9</v>
      </c>
      <c r="CE10" s="850" t="s">
        <v>820</v>
      </c>
      <c r="CF10">
        <v>7</v>
      </c>
      <c r="CQ10" s="850" t="s">
        <v>1936</v>
      </c>
      <c r="CR10">
        <v>9</v>
      </c>
      <c r="CS10" s="850" t="s">
        <v>543</v>
      </c>
      <c r="CT10">
        <v>9</v>
      </c>
      <c r="DE10" s="850" t="s">
        <v>481</v>
      </c>
      <c r="DF10">
        <v>9</v>
      </c>
      <c r="DI10" s="850" t="s">
        <v>429</v>
      </c>
      <c r="DJ10">
        <v>9</v>
      </c>
      <c r="DM10" s="850" t="s">
        <v>820</v>
      </c>
      <c r="DN10">
        <v>7</v>
      </c>
      <c r="DY10" s="850" t="s">
        <v>1936</v>
      </c>
      <c r="DZ10">
        <v>9</v>
      </c>
      <c r="EA10" s="850" t="s">
        <v>543</v>
      </c>
      <c r="EB10">
        <v>9</v>
      </c>
      <c r="EK10" s="850" t="s">
        <v>481</v>
      </c>
      <c r="EL10">
        <v>9</v>
      </c>
      <c r="EM10" s="850" t="s">
        <v>429</v>
      </c>
      <c r="EN10">
        <v>9</v>
      </c>
      <c r="EQ10" s="850" t="s">
        <v>820</v>
      </c>
      <c r="ER10">
        <v>7</v>
      </c>
      <c r="FC10" s="850" t="s">
        <v>1936</v>
      </c>
      <c r="FD10">
        <v>9</v>
      </c>
      <c r="FE10" s="850" t="s">
        <v>543</v>
      </c>
      <c r="FF10">
        <v>9</v>
      </c>
      <c r="FO10" s="850" t="s">
        <v>481</v>
      </c>
      <c r="FP10">
        <v>9</v>
      </c>
      <c r="FQ10" s="850" t="s">
        <v>429</v>
      </c>
      <c r="FR10">
        <v>9</v>
      </c>
      <c r="FU10" s="850" t="s">
        <v>820</v>
      </c>
      <c r="FV10">
        <v>7</v>
      </c>
      <c r="GG10" s="850" t="s">
        <v>1936</v>
      </c>
      <c r="GH10">
        <v>9</v>
      </c>
      <c r="GI10" s="850" t="s">
        <v>543</v>
      </c>
      <c r="GJ10">
        <v>9</v>
      </c>
    </row>
    <row r="11" spans="3:200">
      <c r="E11" s="850" t="s">
        <v>839</v>
      </c>
      <c r="F11">
        <v>11</v>
      </c>
      <c r="G11" s="850" t="s">
        <v>482</v>
      </c>
      <c r="H11">
        <v>10</v>
      </c>
      <c r="K11" s="850" t="s">
        <v>430</v>
      </c>
      <c r="L11">
        <v>10</v>
      </c>
      <c r="O11" s="850" t="s">
        <v>823</v>
      </c>
      <c r="P11">
        <v>10</v>
      </c>
      <c r="AC11" s="850" t="s">
        <v>544</v>
      </c>
      <c r="AD11">
        <v>10</v>
      </c>
      <c r="AO11" s="850" t="s">
        <v>482</v>
      </c>
      <c r="AP11">
        <v>10</v>
      </c>
      <c r="AS11" s="850" t="s">
        <v>430</v>
      </c>
      <c r="AT11">
        <v>10</v>
      </c>
      <c r="AW11" s="850" t="s">
        <v>823</v>
      </c>
      <c r="AX11">
        <v>10</v>
      </c>
      <c r="BI11" s="850" t="s">
        <v>1937</v>
      </c>
      <c r="BJ11">
        <v>12</v>
      </c>
      <c r="BK11" s="850" t="s">
        <v>544</v>
      </c>
      <c r="BL11">
        <v>10</v>
      </c>
      <c r="BW11" s="850" t="s">
        <v>482</v>
      </c>
      <c r="BX11">
        <v>10</v>
      </c>
      <c r="CA11" s="850" t="s">
        <v>430</v>
      </c>
      <c r="CB11">
        <v>10</v>
      </c>
      <c r="CE11" s="850" t="s">
        <v>823</v>
      </c>
      <c r="CF11">
        <v>10</v>
      </c>
      <c r="CQ11" s="850" t="s">
        <v>1937</v>
      </c>
      <c r="CR11">
        <v>12</v>
      </c>
      <c r="CS11" s="850" t="s">
        <v>544</v>
      </c>
      <c r="CT11">
        <v>10</v>
      </c>
      <c r="DE11" s="850" t="s">
        <v>482</v>
      </c>
      <c r="DF11">
        <v>10</v>
      </c>
      <c r="DI11" s="850" t="s">
        <v>430</v>
      </c>
      <c r="DJ11">
        <v>10</v>
      </c>
      <c r="DM11" s="850" t="s">
        <v>823</v>
      </c>
      <c r="DN11">
        <v>10</v>
      </c>
      <c r="DY11" s="850" t="s">
        <v>1937</v>
      </c>
      <c r="DZ11">
        <v>12</v>
      </c>
      <c r="EA11" s="850" t="s">
        <v>544</v>
      </c>
      <c r="EB11">
        <v>10</v>
      </c>
      <c r="EK11" s="850" t="s">
        <v>482</v>
      </c>
      <c r="EL11">
        <v>10</v>
      </c>
      <c r="EM11" s="850" t="s">
        <v>430</v>
      </c>
      <c r="EN11">
        <v>10</v>
      </c>
      <c r="EQ11" s="850" t="s">
        <v>823</v>
      </c>
      <c r="ER11">
        <v>10</v>
      </c>
      <c r="FC11" s="850" t="s">
        <v>1937</v>
      </c>
      <c r="FD11">
        <v>12</v>
      </c>
      <c r="FE11" s="850" t="s">
        <v>544</v>
      </c>
      <c r="FF11">
        <v>10</v>
      </c>
      <c r="FO11" s="850" t="s">
        <v>482</v>
      </c>
      <c r="FP11">
        <v>10</v>
      </c>
      <c r="FQ11" s="850" t="s">
        <v>430</v>
      </c>
      <c r="FR11">
        <v>10</v>
      </c>
      <c r="FU11" s="850" t="s">
        <v>823</v>
      </c>
      <c r="FV11">
        <v>10</v>
      </c>
      <c r="GG11" s="850" t="s">
        <v>1937</v>
      </c>
      <c r="GH11">
        <v>12</v>
      </c>
      <c r="GI11" s="850" t="s">
        <v>544</v>
      </c>
      <c r="GJ11">
        <v>10</v>
      </c>
    </row>
    <row r="12" spans="3:200">
      <c r="E12" s="850" t="s">
        <v>840</v>
      </c>
      <c r="F12">
        <v>12</v>
      </c>
      <c r="G12" s="850" t="s">
        <v>483</v>
      </c>
      <c r="H12">
        <v>11</v>
      </c>
      <c r="K12" s="850" t="s">
        <v>431</v>
      </c>
      <c r="L12">
        <v>11</v>
      </c>
      <c r="AC12" s="850" t="s">
        <v>545</v>
      </c>
      <c r="AD12">
        <v>11</v>
      </c>
      <c r="AO12" s="850" t="s">
        <v>483</v>
      </c>
      <c r="AP12">
        <v>11</v>
      </c>
      <c r="AS12" s="850" t="s">
        <v>431</v>
      </c>
      <c r="AT12">
        <v>11</v>
      </c>
      <c r="BI12" s="850" t="s">
        <v>1938</v>
      </c>
      <c r="BJ12">
        <v>10</v>
      </c>
      <c r="BK12" s="850" t="s">
        <v>545</v>
      </c>
      <c r="BL12">
        <v>11</v>
      </c>
      <c r="BW12" s="850" t="s">
        <v>483</v>
      </c>
      <c r="BX12">
        <v>11</v>
      </c>
      <c r="CA12" s="850" t="s">
        <v>431</v>
      </c>
      <c r="CB12">
        <v>11</v>
      </c>
      <c r="CQ12" s="850" t="s">
        <v>1938</v>
      </c>
      <c r="CR12">
        <v>10</v>
      </c>
      <c r="CS12" s="850" t="s">
        <v>545</v>
      </c>
      <c r="CT12">
        <v>11</v>
      </c>
      <c r="DE12" s="850" t="s">
        <v>483</v>
      </c>
      <c r="DF12">
        <v>11</v>
      </c>
      <c r="DI12" s="850" t="s">
        <v>431</v>
      </c>
      <c r="DJ12">
        <v>11</v>
      </c>
      <c r="DY12" s="850" t="s">
        <v>1938</v>
      </c>
      <c r="DZ12">
        <v>10</v>
      </c>
      <c r="EA12" s="850" t="s">
        <v>545</v>
      </c>
      <c r="EB12">
        <v>11</v>
      </c>
      <c r="EK12" s="850" t="s">
        <v>483</v>
      </c>
      <c r="EL12">
        <v>11</v>
      </c>
      <c r="EM12" s="850" t="s">
        <v>431</v>
      </c>
      <c r="EN12">
        <v>11</v>
      </c>
      <c r="FC12" s="850" t="s">
        <v>1938</v>
      </c>
      <c r="FD12">
        <v>10</v>
      </c>
      <c r="FE12" s="850" t="s">
        <v>545</v>
      </c>
      <c r="FF12">
        <v>11</v>
      </c>
      <c r="FO12" s="850" t="s">
        <v>483</v>
      </c>
      <c r="FP12">
        <v>11</v>
      </c>
      <c r="FQ12" s="850" t="s">
        <v>431</v>
      </c>
      <c r="FR12">
        <v>11</v>
      </c>
      <c r="GG12" s="850" t="s">
        <v>1938</v>
      </c>
      <c r="GH12">
        <v>10</v>
      </c>
      <c r="GI12" s="850" t="s">
        <v>545</v>
      </c>
      <c r="GJ12">
        <v>11</v>
      </c>
    </row>
    <row r="13" spans="3:200">
      <c r="E13" s="850" t="s">
        <v>1926</v>
      </c>
      <c r="F13">
        <v>14</v>
      </c>
      <c r="G13" s="850" t="s">
        <v>484</v>
      </c>
      <c r="H13">
        <v>12</v>
      </c>
      <c r="K13" s="850" t="s">
        <v>291</v>
      </c>
      <c r="L13">
        <v>12</v>
      </c>
      <c r="AC13" s="850" t="s">
        <v>546</v>
      </c>
      <c r="AD13">
        <v>12</v>
      </c>
      <c r="AO13" s="850" t="s">
        <v>484</v>
      </c>
      <c r="AP13">
        <v>12</v>
      </c>
      <c r="AS13" s="850" t="s">
        <v>291</v>
      </c>
      <c r="AT13">
        <v>12</v>
      </c>
      <c r="BI13" s="850" t="s">
        <v>1939</v>
      </c>
      <c r="BJ13">
        <v>13</v>
      </c>
      <c r="BK13" s="850" t="s">
        <v>546</v>
      </c>
      <c r="BL13">
        <v>12</v>
      </c>
      <c r="BW13" s="850" t="s">
        <v>484</v>
      </c>
      <c r="BX13">
        <v>12</v>
      </c>
      <c r="CA13" s="850" t="s">
        <v>291</v>
      </c>
      <c r="CB13">
        <v>12</v>
      </c>
      <c r="CQ13" s="850" t="s">
        <v>1939</v>
      </c>
      <c r="CR13">
        <v>13</v>
      </c>
      <c r="CS13" s="850" t="s">
        <v>546</v>
      </c>
      <c r="CT13">
        <v>12</v>
      </c>
      <c r="DE13" s="850" t="s">
        <v>484</v>
      </c>
      <c r="DF13">
        <v>12</v>
      </c>
      <c r="DI13" s="850" t="s">
        <v>291</v>
      </c>
      <c r="DJ13">
        <v>12</v>
      </c>
      <c r="DY13" s="850" t="s">
        <v>1939</v>
      </c>
      <c r="DZ13">
        <v>13</v>
      </c>
      <c r="EA13" s="850" t="s">
        <v>546</v>
      </c>
      <c r="EB13">
        <v>12</v>
      </c>
      <c r="EK13" s="850" t="s">
        <v>484</v>
      </c>
      <c r="EL13">
        <v>12</v>
      </c>
      <c r="EM13" s="850" t="s">
        <v>291</v>
      </c>
      <c r="EN13">
        <v>12</v>
      </c>
      <c r="FC13" s="850" t="s">
        <v>1939</v>
      </c>
      <c r="FD13">
        <v>13</v>
      </c>
      <c r="FE13" s="850" t="s">
        <v>546</v>
      </c>
      <c r="FF13">
        <v>12</v>
      </c>
      <c r="FO13" s="850" t="s">
        <v>484</v>
      </c>
      <c r="FP13">
        <v>12</v>
      </c>
      <c r="FQ13" s="850" t="s">
        <v>291</v>
      </c>
      <c r="FR13">
        <v>12</v>
      </c>
      <c r="GG13" s="850" t="s">
        <v>1939</v>
      </c>
      <c r="GH13">
        <v>13</v>
      </c>
      <c r="GI13" s="850" t="s">
        <v>546</v>
      </c>
      <c r="GJ13">
        <v>12</v>
      </c>
    </row>
    <row r="14" spans="3:200">
      <c r="E14" s="850" t="s">
        <v>1020</v>
      </c>
      <c r="F14">
        <v>13</v>
      </c>
      <c r="G14" s="850" t="s">
        <v>485</v>
      </c>
      <c r="H14">
        <v>13</v>
      </c>
      <c r="K14" s="850" t="s">
        <v>432</v>
      </c>
      <c r="L14">
        <v>13</v>
      </c>
      <c r="AC14" s="850" t="s">
        <v>547</v>
      </c>
      <c r="AD14">
        <v>13</v>
      </c>
      <c r="AO14" s="850" t="s">
        <v>485</v>
      </c>
      <c r="AP14">
        <v>13</v>
      </c>
      <c r="AS14" s="850" t="s">
        <v>432</v>
      </c>
      <c r="AT14">
        <v>13</v>
      </c>
      <c r="BI14" s="850" t="s">
        <v>1940</v>
      </c>
      <c r="BJ14">
        <v>11</v>
      </c>
      <c r="BK14" s="850" t="s">
        <v>547</v>
      </c>
      <c r="BL14">
        <v>13</v>
      </c>
      <c r="BW14" s="850" t="s">
        <v>485</v>
      </c>
      <c r="BX14">
        <v>13</v>
      </c>
      <c r="CA14" s="850" t="s">
        <v>432</v>
      </c>
      <c r="CB14">
        <v>13</v>
      </c>
      <c r="CQ14" s="850" t="s">
        <v>1940</v>
      </c>
      <c r="CR14">
        <v>11</v>
      </c>
      <c r="CS14" s="850" t="s">
        <v>547</v>
      </c>
      <c r="CT14">
        <v>13</v>
      </c>
      <c r="DE14" s="850" t="s">
        <v>485</v>
      </c>
      <c r="DF14">
        <v>13</v>
      </c>
      <c r="DI14" s="850" t="s">
        <v>432</v>
      </c>
      <c r="DJ14">
        <v>13</v>
      </c>
      <c r="DY14" s="850" t="s">
        <v>1940</v>
      </c>
      <c r="DZ14">
        <v>11</v>
      </c>
      <c r="EA14" s="850" t="s">
        <v>547</v>
      </c>
      <c r="EB14">
        <v>13</v>
      </c>
      <c r="EK14" s="850" t="s">
        <v>485</v>
      </c>
      <c r="EL14">
        <v>13</v>
      </c>
      <c r="EM14" s="850" t="s">
        <v>432</v>
      </c>
      <c r="EN14">
        <v>13</v>
      </c>
      <c r="FC14" s="850" t="s">
        <v>1940</v>
      </c>
      <c r="FD14">
        <v>11</v>
      </c>
      <c r="FE14" s="850" t="s">
        <v>547</v>
      </c>
      <c r="FF14">
        <v>13</v>
      </c>
      <c r="FO14" s="850" t="s">
        <v>485</v>
      </c>
      <c r="FP14">
        <v>13</v>
      </c>
      <c r="FQ14" s="850" t="s">
        <v>432</v>
      </c>
      <c r="FR14">
        <v>13</v>
      </c>
      <c r="GG14" s="850" t="s">
        <v>1940</v>
      </c>
      <c r="GH14">
        <v>11</v>
      </c>
      <c r="GI14" s="850" t="s">
        <v>547</v>
      </c>
      <c r="GJ14">
        <v>13</v>
      </c>
    </row>
    <row r="15" spans="3:200">
      <c r="G15" s="850" t="s">
        <v>486</v>
      </c>
      <c r="H15">
        <v>14</v>
      </c>
      <c r="K15" s="850" t="s">
        <v>433</v>
      </c>
      <c r="L15">
        <v>14</v>
      </c>
      <c r="AC15" s="850" t="s">
        <v>548</v>
      </c>
      <c r="AD15">
        <v>14</v>
      </c>
      <c r="AO15" s="850" t="s">
        <v>486</v>
      </c>
      <c r="AP15">
        <v>14</v>
      </c>
      <c r="AS15" s="850" t="s">
        <v>433</v>
      </c>
      <c r="AT15">
        <v>14</v>
      </c>
      <c r="BK15" s="850" t="s">
        <v>548</v>
      </c>
      <c r="BL15">
        <v>14</v>
      </c>
      <c r="BW15" s="850" t="s">
        <v>486</v>
      </c>
      <c r="BX15">
        <v>14</v>
      </c>
      <c r="CA15" s="850" t="s">
        <v>433</v>
      </c>
      <c r="CB15">
        <v>14</v>
      </c>
      <c r="CS15" s="850" t="s">
        <v>548</v>
      </c>
      <c r="CT15">
        <v>14</v>
      </c>
      <c r="DE15" s="850" t="s">
        <v>486</v>
      </c>
      <c r="DF15">
        <v>14</v>
      </c>
      <c r="DI15" s="850" t="s">
        <v>433</v>
      </c>
      <c r="DJ15">
        <v>14</v>
      </c>
      <c r="EA15" s="850" t="s">
        <v>548</v>
      </c>
      <c r="EB15">
        <v>14</v>
      </c>
      <c r="EK15" s="850" t="s">
        <v>486</v>
      </c>
      <c r="EL15">
        <v>14</v>
      </c>
      <c r="EM15" s="850" t="s">
        <v>433</v>
      </c>
      <c r="EN15">
        <v>14</v>
      </c>
      <c r="FE15" s="850" t="s">
        <v>548</v>
      </c>
      <c r="FF15">
        <v>14</v>
      </c>
      <c r="FO15" s="850" t="s">
        <v>486</v>
      </c>
      <c r="FP15">
        <v>14</v>
      </c>
      <c r="FQ15" s="850" t="s">
        <v>433</v>
      </c>
      <c r="FR15">
        <v>14</v>
      </c>
      <c r="GI15" s="850" t="s">
        <v>548</v>
      </c>
      <c r="GJ15">
        <v>14</v>
      </c>
    </row>
    <row r="16" spans="3:200">
      <c r="G16" s="850" t="s">
        <v>487</v>
      </c>
      <c r="H16">
        <v>15</v>
      </c>
      <c r="K16" s="850" t="s">
        <v>434</v>
      </c>
      <c r="L16">
        <v>15</v>
      </c>
      <c r="AC16" s="850" t="s">
        <v>549</v>
      </c>
      <c r="AD16">
        <v>15</v>
      </c>
      <c r="AO16" s="850" t="s">
        <v>487</v>
      </c>
      <c r="AP16">
        <v>15</v>
      </c>
      <c r="AS16" s="850" t="s">
        <v>434</v>
      </c>
      <c r="AT16">
        <v>15</v>
      </c>
      <c r="BK16" s="850" t="s">
        <v>549</v>
      </c>
      <c r="BL16">
        <v>15</v>
      </c>
      <c r="BW16" s="850" t="s">
        <v>487</v>
      </c>
      <c r="BX16">
        <v>15</v>
      </c>
      <c r="CA16" s="850" t="s">
        <v>434</v>
      </c>
      <c r="CB16">
        <v>15</v>
      </c>
      <c r="CS16" s="850" t="s">
        <v>549</v>
      </c>
      <c r="CT16">
        <v>15</v>
      </c>
      <c r="DE16" s="850" t="s">
        <v>487</v>
      </c>
      <c r="DF16">
        <v>15</v>
      </c>
      <c r="DI16" s="850" t="s">
        <v>434</v>
      </c>
      <c r="DJ16">
        <v>15</v>
      </c>
      <c r="EA16" s="850" t="s">
        <v>549</v>
      </c>
      <c r="EB16">
        <v>15</v>
      </c>
      <c r="EK16" s="850" t="s">
        <v>487</v>
      </c>
      <c r="EL16">
        <v>15</v>
      </c>
      <c r="EM16" s="850" t="s">
        <v>434</v>
      </c>
      <c r="EN16">
        <v>15</v>
      </c>
      <c r="FE16" s="850" t="s">
        <v>549</v>
      </c>
      <c r="FF16">
        <v>15</v>
      </c>
      <c r="FO16" s="850" t="s">
        <v>487</v>
      </c>
      <c r="FP16">
        <v>15</v>
      </c>
      <c r="FQ16" s="850" t="s">
        <v>434</v>
      </c>
      <c r="FR16">
        <v>15</v>
      </c>
      <c r="GI16" s="850" t="s">
        <v>549</v>
      </c>
      <c r="GJ16">
        <v>15</v>
      </c>
    </row>
    <row r="17" spans="7:192">
      <c r="G17" s="850" t="s">
        <v>488</v>
      </c>
      <c r="H17">
        <v>16</v>
      </c>
      <c r="K17" s="850" t="s">
        <v>435</v>
      </c>
      <c r="L17">
        <v>16</v>
      </c>
      <c r="AC17" s="850" t="s">
        <v>550</v>
      </c>
      <c r="AD17">
        <v>16</v>
      </c>
      <c r="AO17" s="850" t="s">
        <v>488</v>
      </c>
      <c r="AP17">
        <v>16</v>
      </c>
      <c r="AS17" s="850" t="s">
        <v>435</v>
      </c>
      <c r="AT17">
        <v>16</v>
      </c>
      <c r="BK17" s="850" t="s">
        <v>550</v>
      </c>
      <c r="BL17">
        <v>16</v>
      </c>
      <c r="BW17" s="850" t="s">
        <v>488</v>
      </c>
      <c r="BX17">
        <v>16</v>
      </c>
      <c r="CA17" s="850" t="s">
        <v>435</v>
      </c>
      <c r="CB17">
        <v>16</v>
      </c>
      <c r="CS17" s="850" t="s">
        <v>550</v>
      </c>
      <c r="CT17">
        <v>16</v>
      </c>
      <c r="DE17" s="850" t="s">
        <v>488</v>
      </c>
      <c r="DF17">
        <v>16</v>
      </c>
      <c r="DI17" s="850" t="s">
        <v>435</v>
      </c>
      <c r="DJ17">
        <v>16</v>
      </c>
      <c r="EA17" s="850" t="s">
        <v>550</v>
      </c>
      <c r="EB17">
        <v>16</v>
      </c>
      <c r="EK17" s="850" t="s">
        <v>488</v>
      </c>
      <c r="EL17">
        <v>16</v>
      </c>
      <c r="EM17" s="850" t="s">
        <v>435</v>
      </c>
      <c r="EN17">
        <v>16</v>
      </c>
      <c r="FE17" s="850" t="s">
        <v>550</v>
      </c>
      <c r="FF17">
        <v>16</v>
      </c>
      <c r="FO17" s="850" t="s">
        <v>488</v>
      </c>
      <c r="FP17">
        <v>16</v>
      </c>
      <c r="FQ17" s="850" t="s">
        <v>435</v>
      </c>
      <c r="FR17">
        <v>16</v>
      </c>
      <c r="GI17" s="850" t="s">
        <v>550</v>
      </c>
      <c r="GJ17">
        <v>16</v>
      </c>
    </row>
    <row r="18" spans="7:192">
      <c r="G18" s="850" t="s">
        <v>489</v>
      </c>
      <c r="H18">
        <v>17</v>
      </c>
      <c r="K18" s="850" t="s">
        <v>436</v>
      </c>
      <c r="L18">
        <v>17</v>
      </c>
      <c r="AC18" s="850" t="s">
        <v>551</v>
      </c>
      <c r="AD18">
        <v>17</v>
      </c>
      <c r="AO18" s="850" t="s">
        <v>489</v>
      </c>
      <c r="AP18">
        <v>17</v>
      </c>
      <c r="AS18" s="850" t="s">
        <v>436</v>
      </c>
      <c r="AT18">
        <v>17</v>
      </c>
      <c r="BK18" s="850" t="s">
        <v>551</v>
      </c>
      <c r="BL18">
        <v>17</v>
      </c>
      <c r="BW18" s="850" t="s">
        <v>489</v>
      </c>
      <c r="BX18">
        <v>17</v>
      </c>
      <c r="CA18" s="850" t="s">
        <v>436</v>
      </c>
      <c r="CB18">
        <v>17</v>
      </c>
      <c r="CS18" s="850" t="s">
        <v>551</v>
      </c>
      <c r="CT18">
        <v>17</v>
      </c>
      <c r="DE18" s="850" t="s">
        <v>489</v>
      </c>
      <c r="DF18">
        <v>17</v>
      </c>
      <c r="DI18" s="850" t="s">
        <v>436</v>
      </c>
      <c r="DJ18">
        <v>17</v>
      </c>
      <c r="EA18" s="850" t="s">
        <v>551</v>
      </c>
      <c r="EB18">
        <v>17</v>
      </c>
      <c r="EK18" s="850" t="s">
        <v>489</v>
      </c>
      <c r="EL18">
        <v>17</v>
      </c>
      <c r="EM18" s="850" t="s">
        <v>436</v>
      </c>
      <c r="EN18">
        <v>17</v>
      </c>
      <c r="FE18" s="850" t="s">
        <v>551</v>
      </c>
      <c r="FF18">
        <v>17</v>
      </c>
      <c r="FO18" s="850" t="s">
        <v>489</v>
      </c>
      <c r="FP18">
        <v>17</v>
      </c>
      <c r="FQ18" s="850" t="s">
        <v>436</v>
      </c>
      <c r="FR18">
        <v>17</v>
      </c>
      <c r="GI18" s="850" t="s">
        <v>551</v>
      </c>
      <c r="GJ18">
        <v>17</v>
      </c>
    </row>
    <row r="19" spans="7:192">
      <c r="G19" s="850" t="s">
        <v>490</v>
      </c>
      <c r="H19">
        <v>18</v>
      </c>
      <c r="K19" s="850" t="s">
        <v>437</v>
      </c>
      <c r="L19">
        <v>18</v>
      </c>
      <c r="AC19" s="850" t="s">
        <v>552</v>
      </c>
      <c r="AD19">
        <v>18</v>
      </c>
      <c r="AO19" s="850" t="s">
        <v>490</v>
      </c>
      <c r="AP19">
        <v>18</v>
      </c>
      <c r="AS19" s="850" t="s">
        <v>437</v>
      </c>
      <c r="AT19">
        <v>18</v>
      </c>
      <c r="BK19" s="850" t="s">
        <v>552</v>
      </c>
      <c r="BL19">
        <v>18</v>
      </c>
      <c r="BW19" s="850" t="s">
        <v>490</v>
      </c>
      <c r="BX19">
        <v>18</v>
      </c>
      <c r="CA19" s="850" t="s">
        <v>437</v>
      </c>
      <c r="CB19">
        <v>18</v>
      </c>
      <c r="CS19" s="850" t="s">
        <v>552</v>
      </c>
      <c r="CT19">
        <v>18</v>
      </c>
      <c r="DE19" s="850" t="s">
        <v>490</v>
      </c>
      <c r="DF19">
        <v>18</v>
      </c>
      <c r="DI19" s="850" t="s">
        <v>437</v>
      </c>
      <c r="DJ19">
        <v>18</v>
      </c>
      <c r="EA19" s="850" t="s">
        <v>552</v>
      </c>
      <c r="EB19">
        <v>18</v>
      </c>
      <c r="EK19" s="850" t="s">
        <v>490</v>
      </c>
      <c r="EL19">
        <v>18</v>
      </c>
      <c r="EM19" s="850" t="s">
        <v>437</v>
      </c>
      <c r="EN19">
        <v>18</v>
      </c>
      <c r="FE19" s="850" t="s">
        <v>552</v>
      </c>
      <c r="FF19">
        <v>18</v>
      </c>
      <c r="FO19" s="850" t="s">
        <v>490</v>
      </c>
      <c r="FP19">
        <v>18</v>
      </c>
      <c r="FQ19" s="850" t="s">
        <v>437</v>
      </c>
      <c r="FR19">
        <v>18</v>
      </c>
      <c r="GI19" s="850" t="s">
        <v>552</v>
      </c>
      <c r="GJ19">
        <v>18</v>
      </c>
    </row>
    <row r="20" spans="7:192">
      <c r="G20" s="850" t="s">
        <v>491</v>
      </c>
      <c r="H20">
        <v>19</v>
      </c>
      <c r="K20" s="850" t="s">
        <v>438</v>
      </c>
      <c r="L20">
        <v>19</v>
      </c>
      <c r="AC20" s="850" t="s">
        <v>553</v>
      </c>
      <c r="AD20">
        <v>19</v>
      </c>
      <c r="AO20" s="850" t="s">
        <v>491</v>
      </c>
      <c r="AP20">
        <v>19</v>
      </c>
      <c r="AS20" s="850" t="s">
        <v>438</v>
      </c>
      <c r="AT20">
        <v>19</v>
      </c>
      <c r="BK20" s="850" t="s">
        <v>553</v>
      </c>
      <c r="BL20">
        <v>19</v>
      </c>
      <c r="BW20" s="850" t="s">
        <v>491</v>
      </c>
      <c r="BX20">
        <v>19</v>
      </c>
      <c r="CA20" s="850" t="s">
        <v>438</v>
      </c>
      <c r="CB20">
        <v>19</v>
      </c>
      <c r="CS20" s="850" t="s">
        <v>553</v>
      </c>
      <c r="CT20">
        <v>19</v>
      </c>
      <c r="DE20" s="850" t="s">
        <v>491</v>
      </c>
      <c r="DF20">
        <v>19</v>
      </c>
      <c r="DI20" s="850" t="s">
        <v>438</v>
      </c>
      <c r="DJ20">
        <v>19</v>
      </c>
      <c r="EA20" s="850" t="s">
        <v>553</v>
      </c>
      <c r="EB20">
        <v>19</v>
      </c>
      <c r="EK20" s="850" t="s">
        <v>491</v>
      </c>
      <c r="EL20">
        <v>19</v>
      </c>
      <c r="EM20" s="850" t="s">
        <v>438</v>
      </c>
      <c r="EN20">
        <v>19</v>
      </c>
      <c r="FE20" s="850" t="s">
        <v>553</v>
      </c>
      <c r="FF20">
        <v>19</v>
      </c>
      <c r="FO20" s="850" t="s">
        <v>491</v>
      </c>
      <c r="FP20">
        <v>19</v>
      </c>
      <c r="FQ20" s="850" t="s">
        <v>438</v>
      </c>
      <c r="FR20">
        <v>19</v>
      </c>
      <c r="GI20" s="850" t="s">
        <v>553</v>
      </c>
      <c r="GJ20">
        <v>19</v>
      </c>
    </row>
    <row r="21" spans="7:192">
      <c r="G21" s="850" t="s">
        <v>492</v>
      </c>
      <c r="H21">
        <v>20</v>
      </c>
      <c r="K21" s="850" t="s">
        <v>439</v>
      </c>
      <c r="L21">
        <v>20</v>
      </c>
      <c r="AC21" s="850" t="s">
        <v>554</v>
      </c>
      <c r="AD21">
        <v>20</v>
      </c>
      <c r="AO21" s="850" t="s">
        <v>492</v>
      </c>
      <c r="AP21">
        <v>20</v>
      </c>
      <c r="AS21" s="850" t="s">
        <v>439</v>
      </c>
      <c r="AT21">
        <v>20</v>
      </c>
      <c r="BK21" s="850" t="s">
        <v>554</v>
      </c>
      <c r="BL21">
        <v>20</v>
      </c>
      <c r="BW21" s="850" t="s">
        <v>492</v>
      </c>
      <c r="BX21">
        <v>20</v>
      </c>
      <c r="CA21" s="850" t="s">
        <v>439</v>
      </c>
      <c r="CB21">
        <v>20</v>
      </c>
      <c r="CS21" s="850" t="s">
        <v>554</v>
      </c>
      <c r="CT21">
        <v>20</v>
      </c>
      <c r="DE21" s="850" t="s">
        <v>492</v>
      </c>
      <c r="DF21">
        <v>20</v>
      </c>
      <c r="DI21" s="850" t="s">
        <v>439</v>
      </c>
      <c r="DJ21">
        <v>20</v>
      </c>
      <c r="EA21" s="850" t="s">
        <v>554</v>
      </c>
      <c r="EB21">
        <v>20</v>
      </c>
      <c r="EK21" s="850" t="s">
        <v>492</v>
      </c>
      <c r="EL21">
        <v>20</v>
      </c>
      <c r="EM21" s="850" t="s">
        <v>439</v>
      </c>
      <c r="EN21">
        <v>20</v>
      </c>
      <c r="FE21" s="850" t="s">
        <v>554</v>
      </c>
      <c r="FF21">
        <v>20</v>
      </c>
      <c r="FO21" s="850" t="s">
        <v>492</v>
      </c>
      <c r="FP21">
        <v>20</v>
      </c>
      <c r="FQ21" s="850" t="s">
        <v>439</v>
      </c>
      <c r="FR21">
        <v>20</v>
      </c>
      <c r="GI21" s="850" t="s">
        <v>554</v>
      </c>
      <c r="GJ21">
        <v>20</v>
      </c>
    </row>
    <row r="22" spans="7:192">
      <c r="G22" s="850" t="s">
        <v>493</v>
      </c>
      <c r="H22">
        <v>21</v>
      </c>
      <c r="K22" s="850" t="s">
        <v>440</v>
      </c>
      <c r="L22">
        <v>21</v>
      </c>
      <c r="AO22" s="850" t="s">
        <v>493</v>
      </c>
      <c r="AP22">
        <v>21</v>
      </c>
      <c r="AS22" s="850" t="s">
        <v>440</v>
      </c>
      <c r="AT22">
        <v>21</v>
      </c>
      <c r="BW22" s="850" t="s">
        <v>493</v>
      </c>
      <c r="BX22">
        <v>21</v>
      </c>
      <c r="CA22" s="850" t="s">
        <v>440</v>
      </c>
      <c r="CB22">
        <v>21</v>
      </c>
      <c r="DE22" s="850" t="s">
        <v>493</v>
      </c>
      <c r="DF22">
        <v>21</v>
      </c>
      <c r="DI22" s="850" t="s">
        <v>440</v>
      </c>
      <c r="DJ22">
        <v>21</v>
      </c>
      <c r="EK22" s="850" t="s">
        <v>493</v>
      </c>
      <c r="EL22">
        <v>21</v>
      </c>
      <c r="EM22" s="850" t="s">
        <v>440</v>
      </c>
      <c r="EN22">
        <v>21</v>
      </c>
      <c r="FO22" s="850" t="s">
        <v>493</v>
      </c>
      <c r="FP22">
        <v>21</v>
      </c>
      <c r="FQ22" s="850" t="s">
        <v>440</v>
      </c>
      <c r="FR22">
        <v>21</v>
      </c>
    </row>
    <row r="23" spans="7:192">
      <c r="G23" s="850" t="s">
        <v>494</v>
      </c>
      <c r="H23">
        <v>22</v>
      </c>
      <c r="K23" s="850" t="s">
        <v>441</v>
      </c>
      <c r="L23">
        <v>22</v>
      </c>
      <c r="AO23" s="850" t="s">
        <v>494</v>
      </c>
      <c r="AP23">
        <v>22</v>
      </c>
      <c r="AS23" s="850" t="s">
        <v>441</v>
      </c>
      <c r="AT23">
        <v>22</v>
      </c>
      <c r="BW23" s="850" t="s">
        <v>494</v>
      </c>
      <c r="BX23">
        <v>22</v>
      </c>
      <c r="CA23" s="850" t="s">
        <v>441</v>
      </c>
      <c r="CB23">
        <v>22</v>
      </c>
      <c r="DE23" s="850" t="s">
        <v>494</v>
      </c>
      <c r="DF23">
        <v>22</v>
      </c>
      <c r="DI23" s="850" t="s">
        <v>441</v>
      </c>
      <c r="DJ23">
        <v>22</v>
      </c>
      <c r="EK23" s="850" t="s">
        <v>494</v>
      </c>
      <c r="EL23">
        <v>22</v>
      </c>
      <c r="EM23" s="850" t="s">
        <v>441</v>
      </c>
      <c r="EN23">
        <v>22</v>
      </c>
      <c r="FO23" s="850" t="s">
        <v>494</v>
      </c>
      <c r="FP23">
        <v>22</v>
      </c>
      <c r="FQ23" s="850" t="s">
        <v>441</v>
      </c>
      <c r="FR23">
        <v>22</v>
      </c>
    </row>
    <row r="24" spans="7:192">
      <c r="G24" s="850" t="s">
        <v>495</v>
      </c>
      <c r="H24">
        <v>23</v>
      </c>
      <c r="K24" s="850" t="s">
        <v>442</v>
      </c>
      <c r="L24">
        <v>23</v>
      </c>
      <c r="AO24" s="850" t="s">
        <v>495</v>
      </c>
      <c r="AP24">
        <v>23</v>
      </c>
      <c r="AS24" s="850" t="s">
        <v>442</v>
      </c>
      <c r="AT24">
        <v>23</v>
      </c>
      <c r="BW24" s="850" t="s">
        <v>495</v>
      </c>
      <c r="BX24">
        <v>23</v>
      </c>
      <c r="CA24" s="850" t="s">
        <v>442</v>
      </c>
      <c r="CB24">
        <v>23</v>
      </c>
      <c r="DE24" s="850" t="s">
        <v>495</v>
      </c>
      <c r="DF24">
        <v>23</v>
      </c>
      <c r="DI24" s="850" t="s">
        <v>442</v>
      </c>
      <c r="DJ24">
        <v>23</v>
      </c>
      <c r="EK24" s="850" t="s">
        <v>495</v>
      </c>
      <c r="EL24">
        <v>23</v>
      </c>
      <c r="EM24" s="850" t="s">
        <v>442</v>
      </c>
      <c r="EN24">
        <v>23</v>
      </c>
      <c r="FO24" s="850" t="s">
        <v>495</v>
      </c>
      <c r="FP24">
        <v>23</v>
      </c>
      <c r="FQ24" s="850" t="s">
        <v>442</v>
      </c>
      <c r="FR24">
        <v>23</v>
      </c>
    </row>
    <row r="25" spans="7:192">
      <c r="G25" s="850" t="s">
        <v>496</v>
      </c>
      <c r="H25">
        <v>24</v>
      </c>
      <c r="K25" s="850" t="s">
        <v>443</v>
      </c>
      <c r="L25">
        <v>24</v>
      </c>
      <c r="AO25" s="850" t="s">
        <v>496</v>
      </c>
      <c r="AP25">
        <v>24</v>
      </c>
      <c r="AS25" s="850" t="s">
        <v>443</v>
      </c>
      <c r="AT25">
        <v>24</v>
      </c>
      <c r="BW25" s="850" t="s">
        <v>496</v>
      </c>
      <c r="BX25">
        <v>24</v>
      </c>
      <c r="CA25" s="850" t="s">
        <v>443</v>
      </c>
      <c r="CB25">
        <v>24</v>
      </c>
      <c r="DE25" s="850" t="s">
        <v>496</v>
      </c>
      <c r="DF25">
        <v>24</v>
      </c>
      <c r="DI25" s="850" t="s">
        <v>443</v>
      </c>
      <c r="DJ25">
        <v>24</v>
      </c>
      <c r="EK25" s="850" t="s">
        <v>496</v>
      </c>
      <c r="EL25">
        <v>24</v>
      </c>
      <c r="EM25" s="850" t="s">
        <v>443</v>
      </c>
      <c r="EN25">
        <v>24</v>
      </c>
      <c r="FO25" s="850" t="s">
        <v>496</v>
      </c>
      <c r="FP25">
        <v>24</v>
      </c>
      <c r="FQ25" s="850" t="s">
        <v>443</v>
      </c>
      <c r="FR25">
        <v>24</v>
      </c>
    </row>
    <row r="26" spans="7:192">
      <c r="G26" s="850" t="s">
        <v>497</v>
      </c>
      <c r="H26">
        <v>25</v>
      </c>
      <c r="K26" s="850" t="s">
        <v>444</v>
      </c>
      <c r="L26">
        <v>25</v>
      </c>
      <c r="AO26" s="850" t="s">
        <v>497</v>
      </c>
      <c r="AP26">
        <v>25</v>
      </c>
      <c r="AS26" s="850" t="s">
        <v>444</v>
      </c>
      <c r="AT26">
        <v>25</v>
      </c>
      <c r="BW26" s="850" t="s">
        <v>497</v>
      </c>
      <c r="BX26">
        <v>25</v>
      </c>
      <c r="CA26" s="850" t="s">
        <v>444</v>
      </c>
      <c r="CB26">
        <v>25</v>
      </c>
      <c r="DE26" s="850" t="s">
        <v>497</v>
      </c>
      <c r="DF26">
        <v>25</v>
      </c>
      <c r="DI26" s="850" t="s">
        <v>444</v>
      </c>
      <c r="DJ26">
        <v>25</v>
      </c>
      <c r="EK26" s="850" t="s">
        <v>497</v>
      </c>
      <c r="EL26">
        <v>25</v>
      </c>
      <c r="EM26" s="850" t="s">
        <v>444</v>
      </c>
      <c r="EN26">
        <v>25</v>
      </c>
      <c r="FO26" s="850" t="s">
        <v>497</v>
      </c>
      <c r="FP26">
        <v>25</v>
      </c>
      <c r="FQ26" s="850" t="s">
        <v>444</v>
      </c>
      <c r="FR26">
        <v>25</v>
      </c>
    </row>
    <row r="27" spans="7:192">
      <c r="G27" s="850" t="s">
        <v>498</v>
      </c>
      <c r="H27">
        <v>26</v>
      </c>
      <c r="K27" s="850" t="s">
        <v>445</v>
      </c>
      <c r="L27">
        <v>26</v>
      </c>
      <c r="AO27" s="850" t="s">
        <v>498</v>
      </c>
      <c r="AP27">
        <v>26</v>
      </c>
      <c r="AS27" s="850" t="s">
        <v>445</v>
      </c>
      <c r="AT27">
        <v>26</v>
      </c>
      <c r="BW27" s="850" t="s">
        <v>498</v>
      </c>
      <c r="BX27">
        <v>26</v>
      </c>
      <c r="CA27" s="850" t="s">
        <v>445</v>
      </c>
      <c r="CB27">
        <v>26</v>
      </c>
      <c r="DE27" s="850" t="s">
        <v>498</v>
      </c>
      <c r="DF27">
        <v>26</v>
      </c>
      <c r="DI27" s="850" t="s">
        <v>445</v>
      </c>
      <c r="DJ27">
        <v>26</v>
      </c>
      <c r="EK27" s="850" t="s">
        <v>498</v>
      </c>
      <c r="EL27">
        <v>26</v>
      </c>
      <c r="EM27" s="850" t="s">
        <v>445</v>
      </c>
      <c r="EN27">
        <v>26</v>
      </c>
      <c r="FO27" s="850" t="s">
        <v>498</v>
      </c>
      <c r="FP27">
        <v>26</v>
      </c>
      <c r="FQ27" s="850" t="s">
        <v>445</v>
      </c>
      <c r="FR27">
        <v>26</v>
      </c>
    </row>
    <row r="28" spans="7:192">
      <c r="G28" s="850" t="s">
        <v>499</v>
      </c>
      <c r="H28">
        <v>27</v>
      </c>
      <c r="K28" s="850" t="s">
        <v>446</v>
      </c>
      <c r="L28">
        <v>27</v>
      </c>
      <c r="AO28" s="850" t="s">
        <v>499</v>
      </c>
      <c r="AP28">
        <v>27</v>
      </c>
      <c r="AS28" s="850" t="s">
        <v>446</v>
      </c>
      <c r="AT28">
        <v>27</v>
      </c>
      <c r="BW28" s="850" t="s">
        <v>499</v>
      </c>
      <c r="BX28">
        <v>27</v>
      </c>
      <c r="CA28" s="850" t="s">
        <v>446</v>
      </c>
      <c r="CB28">
        <v>27</v>
      </c>
      <c r="DE28" s="850" t="s">
        <v>499</v>
      </c>
      <c r="DF28">
        <v>27</v>
      </c>
      <c r="DI28" s="850" t="s">
        <v>446</v>
      </c>
      <c r="DJ28">
        <v>27</v>
      </c>
      <c r="EK28" s="850" t="s">
        <v>499</v>
      </c>
      <c r="EL28">
        <v>27</v>
      </c>
      <c r="EM28" s="850" t="s">
        <v>446</v>
      </c>
      <c r="EN28">
        <v>27</v>
      </c>
      <c r="FO28" s="850" t="s">
        <v>499</v>
      </c>
      <c r="FP28">
        <v>27</v>
      </c>
      <c r="FQ28" s="850" t="s">
        <v>446</v>
      </c>
      <c r="FR28">
        <v>27</v>
      </c>
    </row>
    <row r="29" spans="7:192">
      <c r="G29" s="850" t="s">
        <v>500</v>
      </c>
      <c r="H29">
        <v>28</v>
      </c>
      <c r="K29" s="850" t="s">
        <v>447</v>
      </c>
      <c r="L29">
        <v>28</v>
      </c>
      <c r="AO29" s="850" t="s">
        <v>500</v>
      </c>
      <c r="AP29">
        <v>28</v>
      </c>
      <c r="AS29" s="850" t="s">
        <v>447</v>
      </c>
      <c r="AT29">
        <v>28</v>
      </c>
      <c r="BW29" s="850" t="s">
        <v>500</v>
      </c>
      <c r="BX29">
        <v>28</v>
      </c>
      <c r="CA29" s="850" t="s">
        <v>447</v>
      </c>
      <c r="CB29">
        <v>28</v>
      </c>
      <c r="DE29" s="850" t="s">
        <v>500</v>
      </c>
      <c r="DF29">
        <v>28</v>
      </c>
      <c r="DI29" s="850" t="s">
        <v>447</v>
      </c>
      <c r="DJ29">
        <v>28</v>
      </c>
      <c r="EK29" s="850" t="s">
        <v>500</v>
      </c>
      <c r="EL29">
        <v>28</v>
      </c>
      <c r="EM29" s="850" t="s">
        <v>447</v>
      </c>
      <c r="EN29">
        <v>28</v>
      </c>
      <c r="FO29" s="850" t="s">
        <v>500</v>
      </c>
      <c r="FP29">
        <v>28</v>
      </c>
      <c r="FQ29" s="850" t="s">
        <v>447</v>
      </c>
      <c r="FR29">
        <v>28</v>
      </c>
    </row>
    <row r="30" spans="7:192">
      <c r="G30" s="850" t="s">
        <v>501</v>
      </c>
      <c r="H30">
        <v>29</v>
      </c>
      <c r="K30" s="850" t="s">
        <v>448</v>
      </c>
      <c r="L30">
        <v>29</v>
      </c>
      <c r="AO30" s="850" t="s">
        <v>501</v>
      </c>
      <c r="AP30">
        <v>29</v>
      </c>
      <c r="AS30" s="850" t="s">
        <v>448</v>
      </c>
      <c r="AT30">
        <v>29</v>
      </c>
      <c r="BW30" s="850" t="s">
        <v>501</v>
      </c>
      <c r="BX30">
        <v>29</v>
      </c>
      <c r="CA30" s="850" t="s">
        <v>448</v>
      </c>
      <c r="CB30">
        <v>29</v>
      </c>
      <c r="DE30" s="850" t="s">
        <v>501</v>
      </c>
      <c r="DF30">
        <v>29</v>
      </c>
      <c r="DI30" s="850" t="s">
        <v>448</v>
      </c>
      <c r="DJ30">
        <v>29</v>
      </c>
      <c r="EK30" s="850" t="s">
        <v>501</v>
      </c>
      <c r="EL30">
        <v>29</v>
      </c>
      <c r="EM30" s="850" t="s">
        <v>448</v>
      </c>
      <c r="EN30">
        <v>29</v>
      </c>
      <c r="FO30" s="850" t="s">
        <v>501</v>
      </c>
      <c r="FP30">
        <v>29</v>
      </c>
      <c r="FQ30" s="850" t="s">
        <v>448</v>
      </c>
      <c r="FR30">
        <v>29</v>
      </c>
    </row>
    <row r="31" spans="7:192">
      <c r="G31" s="850" t="s">
        <v>502</v>
      </c>
      <c r="H31">
        <v>30</v>
      </c>
      <c r="K31" s="850" t="s">
        <v>449</v>
      </c>
      <c r="L31">
        <v>30</v>
      </c>
      <c r="AO31" s="850" t="s">
        <v>502</v>
      </c>
      <c r="AP31">
        <v>30</v>
      </c>
      <c r="AS31" s="850" t="s">
        <v>449</v>
      </c>
      <c r="AT31">
        <v>30</v>
      </c>
      <c r="BW31" s="850" t="s">
        <v>502</v>
      </c>
      <c r="BX31">
        <v>30</v>
      </c>
      <c r="CA31" s="850" t="s">
        <v>449</v>
      </c>
      <c r="CB31">
        <v>30</v>
      </c>
      <c r="DE31" s="850" t="s">
        <v>502</v>
      </c>
      <c r="DF31">
        <v>30</v>
      </c>
      <c r="DI31" s="850" t="s">
        <v>449</v>
      </c>
      <c r="DJ31">
        <v>30</v>
      </c>
      <c r="EK31" s="850" t="s">
        <v>502</v>
      </c>
      <c r="EL31">
        <v>30</v>
      </c>
      <c r="EM31" s="850" t="s">
        <v>449</v>
      </c>
      <c r="EN31">
        <v>30</v>
      </c>
      <c r="FO31" s="850" t="s">
        <v>502</v>
      </c>
      <c r="FP31">
        <v>30</v>
      </c>
      <c r="FQ31" s="850" t="s">
        <v>449</v>
      </c>
      <c r="FR31">
        <v>30</v>
      </c>
    </row>
    <row r="32" spans="7:192">
      <c r="G32" s="850" t="s">
        <v>503</v>
      </c>
      <c r="H32">
        <v>31</v>
      </c>
      <c r="K32" s="850" t="s">
        <v>418</v>
      </c>
      <c r="L32">
        <v>31</v>
      </c>
      <c r="AO32" s="850" t="s">
        <v>503</v>
      </c>
      <c r="AP32">
        <v>31</v>
      </c>
      <c r="AS32" s="850" t="s">
        <v>418</v>
      </c>
      <c r="AT32">
        <v>31</v>
      </c>
      <c r="BW32" s="850" t="s">
        <v>503</v>
      </c>
      <c r="BX32">
        <v>31</v>
      </c>
      <c r="CA32" s="850" t="s">
        <v>418</v>
      </c>
      <c r="CB32">
        <v>31</v>
      </c>
      <c r="DE32" s="850" t="s">
        <v>503</v>
      </c>
      <c r="DF32">
        <v>31</v>
      </c>
      <c r="DI32" s="850" t="s">
        <v>418</v>
      </c>
      <c r="DJ32">
        <v>31</v>
      </c>
      <c r="EK32" s="850" t="s">
        <v>503</v>
      </c>
      <c r="EL32">
        <v>31</v>
      </c>
      <c r="EM32" s="850" t="s">
        <v>418</v>
      </c>
      <c r="EN32">
        <v>31</v>
      </c>
      <c r="FO32" s="850" t="s">
        <v>503</v>
      </c>
      <c r="FP32">
        <v>31</v>
      </c>
      <c r="FQ32" s="850" t="s">
        <v>418</v>
      </c>
      <c r="FR32">
        <v>31</v>
      </c>
    </row>
    <row r="33" spans="7:174">
      <c r="G33" s="850" t="s">
        <v>504</v>
      </c>
      <c r="H33">
        <v>32</v>
      </c>
      <c r="K33" s="850" t="s">
        <v>450</v>
      </c>
      <c r="L33">
        <v>32</v>
      </c>
      <c r="AO33" s="850" t="s">
        <v>504</v>
      </c>
      <c r="AP33">
        <v>32</v>
      </c>
      <c r="AS33" s="850" t="s">
        <v>450</v>
      </c>
      <c r="AT33">
        <v>32</v>
      </c>
      <c r="BW33" s="850" t="s">
        <v>504</v>
      </c>
      <c r="BX33">
        <v>32</v>
      </c>
      <c r="CA33" s="850" t="s">
        <v>450</v>
      </c>
      <c r="CB33">
        <v>32</v>
      </c>
      <c r="DE33" s="850" t="s">
        <v>504</v>
      </c>
      <c r="DF33">
        <v>32</v>
      </c>
      <c r="DI33" s="850" t="s">
        <v>450</v>
      </c>
      <c r="DJ33">
        <v>32</v>
      </c>
      <c r="EK33" s="850" t="s">
        <v>504</v>
      </c>
      <c r="EL33">
        <v>32</v>
      </c>
      <c r="EM33" s="850" t="s">
        <v>450</v>
      </c>
      <c r="EN33">
        <v>32</v>
      </c>
      <c r="FO33" s="850" t="s">
        <v>504</v>
      </c>
      <c r="FP33">
        <v>32</v>
      </c>
      <c r="FQ33" s="850" t="s">
        <v>450</v>
      </c>
      <c r="FR33">
        <v>32</v>
      </c>
    </row>
    <row r="34" spans="7:174">
      <c r="G34" s="850" t="s">
        <v>505</v>
      </c>
      <c r="H34">
        <v>33</v>
      </c>
      <c r="K34" s="850" t="s">
        <v>451</v>
      </c>
      <c r="L34">
        <v>33</v>
      </c>
      <c r="AO34" s="850" t="s">
        <v>505</v>
      </c>
      <c r="AP34">
        <v>33</v>
      </c>
      <c r="AS34" s="850" t="s">
        <v>451</v>
      </c>
      <c r="AT34">
        <v>33</v>
      </c>
      <c r="BW34" s="850" t="s">
        <v>505</v>
      </c>
      <c r="BX34">
        <v>33</v>
      </c>
      <c r="CA34" s="850" t="s">
        <v>451</v>
      </c>
      <c r="CB34">
        <v>33</v>
      </c>
      <c r="DE34" s="850" t="s">
        <v>505</v>
      </c>
      <c r="DF34">
        <v>33</v>
      </c>
      <c r="DI34" s="850" t="s">
        <v>451</v>
      </c>
      <c r="DJ34">
        <v>33</v>
      </c>
      <c r="EK34" s="850" t="s">
        <v>505</v>
      </c>
      <c r="EL34">
        <v>33</v>
      </c>
      <c r="EM34" s="850" t="s">
        <v>451</v>
      </c>
      <c r="EN34">
        <v>33</v>
      </c>
      <c r="FO34" s="850" t="s">
        <v>505</v>
      </c>
      <c r="FP34">
        <v>33</v>
      </c>
      <c r="FQ34" s="850" t="s">
        <v>451</v>
      </c>
      <c r="FR34">
        <v>33</v>
      </c>
    </row>
    <row r="35" spans="7:174">
      <c r="G35" s="850" t="s">
        <v>506</v>
      </c>
      <c r="H35">
        <v>34</v>
      </c>
      <c r="K35" s="850" t="s">
        <v>452</v>
      </c>
      <c r="L35">
        <v>34</v>
      </c>
      <c r="AO35" s="850" t="s">
        <v>506</v>
      </c>
      <c r="AP35">
        <v>34</v>
      </c>
      <c r="AS35" s="850" t="s">
        <v>452</v>
      </c>
      <c r="AT35">
        <v>34</v>
      </c>
      <c r="BW35" s="850" t="s">
        <v>506</v>
      </c>
      <c r="BX35">
        <v>34</v>
      </c>
      <c r="CA35" s="850" t="s">
        <v>452</v>
      </c>
      <c r="CB35">
        <v>34</v>
      </c>
      <c r="DE35" s="850" t="s">
        <v>506</v>
      </c>
      <c r="DF35">
        <v>34</v>
      </c>
      <c r="DI35" s="850" t="s">
        <v>452</v>
      </c>
      <c r="DJ35">
        <v>34</v>
      </c>
      <c r="EK35" s="850" t="s">
        <v>506</v>
      </c>
      <c r="EL35">
        <v>34</v>
      </c>
      <c r="EM35" s="850" t="s">
        <v>452</v>
      </c>
      <c r="EN35">
        <v>34</v>
      </c>
      <c r="FO35" s="850" t="s">
        <v>506</v>
      </c>
      <c r="FP35">
        <v>34</v>
      </c>
      <c r="FQ35" s="850" t="s">
        <v>452</v>
      </c>
      <c r="FR35">
        <v>34</v>
      </c>
    </row>
    <row r="36" spans="7:174">
      <c r="G36" s="850" t="s">
        <v>507</v>
      </c>
      <c r="H36">
        <v>35</v>
      </c>
      <c r="K36" s="850" t="s">
        <v>453</v>
      </c>
      <c r="L36">
        <v>35</v>
      </c>
      <c r="AO36" s="850" t="s">
        <v>507</v>
      </c>
      <c r="AP36">
        <v>35</v>
      </c>
      <c r="AS36" s="850" t="s">
        <v>453</v>
      </c>
      <c r="AT36">
        <v>35</v>
      </c>
      <c r="BW36" s="850" t="s">
        <v>507</v>
      </c>
      <c r="BX36">
        <v>35</v>
      </c>
      <c r="CA36" s="850" t="s">
        <v>453</v>
      </c>
      <c r="CB36">
        <v>35</v>
      </c>
      <c r="DE36" s="850" t="s">
        <v>507</v>
      </c>
      <c r="DF36">
        <v>35</v>
      </c>
      <c r="DI36" s="850" t="s">
        <v>453</v>
      </c>
      <c r="DJ36">
        <v>35</v>
      </c>
      <c r="EK36" s="850" t="s">
        <v>507</v>
      </c>
      <c r="EL36">
        <v>35</v>
      </c>
      <c r="EM36" s="850" t="s">
        <v>453</v>
      </c>
      <c r="EN36">
        <v>35</v>
      </c>
      <c r="FO36" s="850" t="s">
        <v>507</v>
      </c>
      <c r="FP36">
        <v>35</v>
      </c>
      <c r="FQ36" s="850" t="s">
        <v>453</v>
      </c>
      <c r="FR36">
        <v>35</v>
      </c>
    </row>
    <row r="37" spans="7:174">
      <c r="G37" s="850" t="s">
        <v>508</v>
      </c>
      <c r="H37">
        <v>36</v>
      </c>
      <c r="K37" s="850" t="s">
        <v>454</v>
      </c>
      <c r="L37">
        <v>36</v>
      </c>
      <c r="AO37" s="850" t="s">
        <v>508</v>
      </c>
      <c r="AP37">
        <v>36</v>
      </c>
      <c r="AS37" s="850" t="s">
        <v>454</v>
      </c>
      <c r="AT37">
        <v>36</v>
      </c>
      <c r="BW37" s="850" t="s">
        <v>508</v>
      </c>
      <c r="BX37">
        <v>36</v>
      </c>
      <c r="CA37" s="850" t="s">
        <v>454</v>
      </c>
      <c r="CB37">
        <v>36</v>
      </c>
      <c r="DE37" s="850" t="s">
        <v>508</v>
      </c>
      <c r="DF37">
        <v>36</v>
      </c>
      <c r="DI37" s="850" t="s">
        <v>454</v>
      </c>
      <c r="DJ37">
        <v>36</v>
      </c>
      <c r="EK37" s="850" t="s">
        <v>508</v>
      </c>
      <c r="EL37">
        <v>36</v>
      </c>
      <c r="EM37" s="850" t="s">
        <v>454</v>
      </c>
      <c r="EN37">
        <v>36</v>
      </c>
      <c r="FO37" s="850" t="s">
        <v>508</v>
      </c>
      <c r="FP37">
        <v>36</v>
      </c>
      <c r="FQ37" s="850" t="s">
        <v>454</v>
      </c>
      <c r="FR37">
        <v>36</v>
      </c>
    </row>
    <row r="38" spans="7:174">
      <c r="G38" s="850" t="s">
        <v>509</v>
      </c>
      <c r="H38">
        <v>37</v>
      </c>
      <c r="K38" s="850" t="s">
        <v>455</v>
      </c>
      <c r="L38">
        <v>37</v>
      </c>
      <c r="AO38" s="850" t="s">
        <v>509</v>
      </c>
      <c r="AP38">
        <v>37</v>
      </c>
      <c r="AS38" s="850" t="s">
        <v>455</v>
      </c>
      <c r="AT38">
        <v>37</v>
      </c>
      <c r="BW38" s="850" t="s">
        <v>509</v>
      </c>
      <c r="BX38">
        <v>37</v>
      </c>
      <c r="CA38" s="850" t="s">
        <v>455</v>
      </c>
      <c r="CB38">
        <v>37</v>
      </c>
      <c r="DE38" s="850" t="s">
        <v>509</v>
      </c>
      <c r="DF38">
        <v>37</v>
      </c>
      <c r="DI38" s="850" t="s">
        <v>455</v>
      </c>
      <c r="DJ38">
        <v>37</v>
      </c>
      <c r="EK38" s="850" t="s">
        <v>509</v>
      </c>
      <c r="EL38">
        <v>37</v>
      </c>
      <c r="EM38" s="850" t="s">
        <v>455</v>
      </c>
      <c r="EN38">
        <v>37</v>
      </c>
      <c r="FO38" s="850" t="s">
        <v>509</v>
      </c>
      <c r="FP38">
        <v>37</v>
      </c>
      <c r="FQ38" s="850" t="s">
        <v>455</v>
      </c>
      <c r="FR38">
        <v>37</v>
      </c>
    </row>
    <row r="39" spans="7:174">
      <c r="G39" s="850" t="s">
        <v>510</v>
      </c>
      <c r="H39">
        <v>38</v>
      </c>
      <c r="K39" s="850" t="s">
        <v>419</v>
      </c>
      <c r="L39">
        <v>38</v>
      </c>
      <c r="AO39" s="850" t="s">
        <v>510</v>
      </c>
      <c r="AP39">
        <v>38</v>
      </c>
      <c r="AS39" s="850" t="s">
        <v>419</v>
      </c>
      <c r="AT39">
        <v>38</v>
      </c>
      <c r="BW39" s="850" t="s">
        <v>510</v>
      </c>
      <c r="BX39">
        <v>38</v>
      </c>
      <c r="CA39" s="850" t="s">
        <v>419</v>
      </c>
      <c r="CB39">
        <v>38</v>
      </c>
      <c r="DE39" s="850" t="s">
        <v>510</v>
      </c>
      <c r="DF39">
        <v>38</v>
      </c>
      <c r="DI39" s="850" t="s">
        <v>419</v>
      </c>
      <c r="DJ39">
        <v>38</v>
      </c>
      <c r="EK39" s="850" t="s">
        <v>510</v>
      </c>
      <c r="EL39">
        <v>38</v>
      </c>
      <c r="EM39" s="850" t="s">
        <v>419</v>
      </c>
      <c r="EN39">
        <v>38</v>
      </c>
      <c r="FO39" s="850" t="s">
        <v>510</v>
      </c>
      <c r="FP39">
        <v>38</v>
      </c>
      <c r="FQ39" s="850" t="s">
        <v>419</v>
      </c>
      <c r="FR39">
        <v>38</v>
      </c>
    </row>
    <row r="40" spans="7:174">
      <c r="G40" s="850" t="s">
        <v>511</v>
      </c>
      <c r="H40">
        <v>39</v>
      </c>
      <c r="K40" s="850" t="s">
        <v>456</v>
      </c>
      <c r="L40">
        <v>39</v>
      </c>
      <c r="AO40" s="850" t="s">
        <v>511</v>
      </c>
      <c r="AP40">
        <v>39</v>
      </c>
      <c r="AS40" s="850" t="s">
        <v>456</v>
      </c>
      <c r="AT40">
        <v>39</v>
      </c>
      <c r="BW40" s="850" t="s">
        <v>511</v>
      </c>
      <c r="BX40">
        <v>39</v>
      </c>
      <c r="CA40" s="850" t="s">
        <v>456</v>
      </c>
      <c r="CB40">
        <v>39</v>
      </c>
      <c r="DE40" s="850" t="s">
        <v>511</v>
      </c>
      <c r="DF40">
        <v>39</v>
      </c>
      <c r="DI40" s="850" t="s">
        <v>456</v>
      </c>
      <c r="DJ40">
        <v>39</v>
      </c>
      <c r="EK40" s="850" t="s">
        <v>511</v>
      </c>
      <c r="EL40">
        <v>39</v>
      </c>
      <c r="EM40" s="850" t="s">
        <v>456</v>
      </c>
      <c r="EN40">
        <v>39</v>
      </c>
      <c r="FO40" s="850" t="s">
        <v>511</v>
      </c>
      <c r="FP40">
        <v>39</v>
      </c>
      <c r="FQ40" s="850" t="s">
        <v>456</v>
      </c>
      <c r="FR40">
        <v>39</v>
      </c>
    </row>
    <row r="41" spans="7:174">
      <c r="G41" s="850" t="s">
        <v>512</v>
      </c>
      <c r="H41">
        <v>40</v>
      </c>
      <c r="K41" s="850" t="s">
        <v>457</v>
      </c>
      <c r="L41">
        <v>40</v>
      </c>
      <c r="AO41" s="850" t="s">
        <v>512</v>
      </c>
      <c r="AP41">
        <v>40</v>
      </c>
      <c r="AS41" s="850" t="s">
        <v>457</v>
      </c>
      <c r="AT41">
        <v>40</v>
      </c>
      <c r="BW41" s="850" t="s">
        <v>512</v>
      </c>
      <c r="BX41">
        <v>40</v>
      </c>
      <c r="CA41" s="850" t="s">
        <v>457</v>
      </c>
      <c r="CB41">
        <v>40</v>
      </c>
      <c r="DE41" s="850" t="s">
        <v>512</v>
      </c>
      <c r="DF41">
        <v>40</v>
      </c>
      <c r="DI41" s="850" t="s">
        <v>457</v>
      </c>
      <c r="DJ41">
        <v>40</v>
      </c>
      <c r="EK41" s="850" t="s">
        <v>512</v>
      </c>
      <c r="EL41">
        <v>40</v>
      </c>
      <c r="EM41" s="850" t="s">
        <v>457</v>
      </c>
      <c r="EN41">
        <v>40</v>
      </c>
      <c r="FO41" s="850" t="s">
        <v>512</v>
      </c>
      <c r="FP41">
        <v>40</v>
      </c>
      <c r="FQ41" s="850" t="s">
        <v>457</v>
      </c>
      <c r="FR41">
        <v>40</v>
      </c>
    </row>
    <row r="42" spans="7:174">
      <c r="G42" s="850" t="s">
        <v>513</v>
      </c>
      <c r="H42">
        <v>41</v>
      </c>
      <c r="K42" s="850" t="s">
        <v>458</v>
      </c>
      <c r="L42">
        <v>41</v>
      </c>
      <c r="AO42" s="850" t="s">
        <v>513</v>
      </c>
      <c r="AP42">
        <v>41</v>
      </c>
      <c r="AS42" s="850" t="s">
        <v>458</v>
      </c>
      <c r="AT42">
        <v>41</v>
      </c>
      <c r="BW42" s="850" t="s">
        <v>513</v>
      </c>
      <c r="BX42">
        <v>41</v>
      </c>
      <c r="CA42" s="850" t="s">
        <v>458</v>
      </c>
      <c r="CB42">
        <v>41</v>
      </c>
      <c r="DE42" s="850" t="s">
        <v>513</v>
      </c>
      <c r="DF42">
        <v>41</v>
      </c>
      <c r="DI42" s="850" t="s">
        <v>458</v>
      </c>
      <c r="DJ42">
        <v>41</v>
      </c>
      <c r="EK42" s="850" t="s">
        <v>513</v>
      </c>
      <c r="EL42">
        <v>41</v>
      </c>
      <c r="EM42" s="850" t="s">
        <v>458</v>
      </c>
      <c r="EN42">
        <v>41</v>
      </c>
      <c r="FO42" s="850" t="s">
        <v>513</v>
      </c>
      <c r="FP42">
        <v>41</v>
      </c>
      <c r="FQ42" s="850" t="s">
        <v>458</v>
      </c>
      <c r="FR42">
        <v>41</v>
      </c>
    </row>
    <row r="43" spans="7:174">
      <c r="G43" s="850" t="s">
        <v>514</v>
      </c>
      <c r="H43">
        <v>42</v>
      </c>
      <c r="K43" s="850" t="s">
        <v>459</v>
      </c>
      <c r="L43">
        <v>42</v>
      </c>
      <c r="AO43" s="850" t="s">
        <v>514</v>
      </c>
      <c r="AP43">
        <v>42</v>
      </c>
      <c r="AS43" s="850" t="s">
        <v>459</v>
      </c>
      <c r="AT43">
        <v>42</v>
      </c>
      <c r="BW43" s="850" t="s">
        <v>514</v>
      </c>
      <c r="BX43">
        <v>42</v>
      </c>
      <c r="CA43" s="850" t="s">
        <v>459</v>
      </c>
      <c r="CB43">
        <v>42</v>
      </c>
      <c r="DE43" s="850" t="s">
        <v>514</v>
      </c>
      <c r="DF43">
        <v>42</v>
      </c>
      <c r="DI43" s="850" t="s">
        <v>459</v>
      </c>
      <c r="DJ43">
        <v>42</v>
      </c>
      <c r="EK43" s="850" t="s">
        <v>514</v>
      </c>
      <c r="EL43">
        <v>42</v>
      </c>
      <c r="EM43" s="850" t="s">
        <v>459</v>
      </c>
      <c r="EN43">
        <v>42</v>
      </c>
      <c r="FO43" s="850" t="s">
        <v>514</v>
      </c>
      <c r="FP43">
        <v>42</v>
      </c>
      <c r="FQ43" s="850" t="s">
        <v>459</v>
      </c>
      <c r="FR43">
        <v>42</v>
      </c>
    </row>
    <row r="44" spans="7:174">
      <c r="G44" s="850" t="s">
        <v>515</v>
      </c>
      <c r="H44">
        <v>43</v>
      </c>
      <c r="K44" s="850" t="s">
        <v>460</v>
      </c>
      <c r="L44">
        <v>43</v>
      </c>
      <c r="AO44" s="850" t="s">
        <v>515</v>
      </c>
      <c r="AP44">
        <v>43</v>
      </c>
      <c r="AS44" s="850" t="s">
        <v>460</v>
      </c>
      <c r="AT44">
        <v>43</v>
      </c>
      <c r="BW44" s="850" t="s">
        <v>515</v>
      </c>
      <c r="BX44">
        <v>43</v>
      </c>
      <c r="CA44" s="850" t="s">
        <v>460</v>
      </c>
      <c r="CB44">
        <v>43</v>
      </c>
      <c r="DE44" s="850" t="s">
        <v>515</v>
      </c>
      <c r="DF44">
        <v>43</v>
      </c>
      <c r="DI44" s="850" t="s">
        <v>460</v>
      </c>
      <c r="DJ44">
        <v>43</v>
      </c>
      <c r="EK44" s="850" t="s">
        <v>515</v>
      </c>
      <c r="EL44">
        <v>43</v>
      </c>
      <c r="EM44" s="850" t="s">
        <v>460</v>
      </c>
      <c r="EN44">
        <v>43</v>
      </c>
      <c r="FO44" s="850" t="s">
        <v>515</v>
      </c>
      <c r="FP44">
        <v>43</v>
      </c>
      <c r="FQ44" s="850" t="s">
        <v>460</v>
      </c>
      <c r="FR44">
        <v>43</v>
      </c>
    </row>
    <row r="45" spans="7:174">
      <c r="G45" s="850" t="s">
        <v>516</v>
      </c>
      <c r="H45">
        <v>44</v>
      </c>
      <c r="K45" s="850" t="s">
        <v>461</v>
      </c>
      <c r="L45">
        <v>44</v>
      </c>
      <c r="AO45" s="850" t="s">
        <v>516</v>
      </c>
      <c r="AP45">
        <v>44</v>
      </c>
      <c r="AS45" s="850" t="s">
        <v>461</v>
      </c>
      <c r="AT45">
        <v>44</v>
      </c>
      <c r="BW45" s="850" t="s">
        <v>516</v>
      </c>
      <c r="BX45">
        <v>44</v>
      </c>
      <c r="CA45" s="850" t="s">
        <v>461</v>
      </c>
      <c r="CB45">
        <v>44</v>
      </c>
      <c r="DE45" s="850" t="s">
        <v>516</v>
      </c>
      <c r="DF45">
        <v>44</v>
      </c>
      <c r="DI45" s="850" t="s">
        <v>461</v>
      </c>
      <c r="DJ45">
        <v>44</v>
      </c>
      <c r="EK45" s="850" t="s">
        <v>516</v>
      </c>
      <c r="EL45">
        <v>44</v>
      </c>
      <c r="EM45" s="850" t="s">
        <v>461</v>
      </c>
      <c r="EN45">
        <v>44</v>
      </c>
      <c r="FO45" s="850" t="s">
        <v>516</v>
      </c>
      <c r="FP45">
        <v>44</v>
      </c>
      <c r="FQ45" s="850" t="s">
        <v>461</v>
      </c>
      <c r="FR45">
        <v>44</v>
      </c>
    </row>
    <row r="46" spans="7:174">
      <c r="G46" s="850" t="s">
        <v>517</v>
      </c>
      <c r="H46">
        <v>45</v>
      </c>
      <c r="K46" s="850" t="s">
        <v>462</v>
      </c>
      <c r="L46">
        <v>45</v>
      </c>
      <c r="AO46" s="850" t="s">
        <v>517</v>
      </c>
      <c r="AP46">
        <v>45</v>
      </c>
      <c r="AS46" s="850" t="s">
        <v>462</v>
      </c>
      <c r="AT46">
        <v>45</v>
      </c>
      <c r="BW46" s="850" t="s">
        <v>517</v>
      </c>
      <c r="BX46">
        <v>45</v>
      </c>
      <c r="CA46" s="850" t="s">
        <v>462</v>
      </c>
      <c r="CB46">
        <v>45</v>
      </c>
      <c r="DE46" s="850" t="s">
        <v>517</v>
      </c>
      <c r="DF46">
        <v>45</v>
      </c>
      <c r="DI46" s="850" t="s">
        <v>462</v>
      </c>
      <c r="DJ46">
        <v>45</v>
      </c>
      <c r="EK46" s="850" t="s">
        <v>517</v>
      </c>
      <c r="EL46">
        <v>45</v>
      </c>
      <c r="EM46" s="850" t="s">
        <v>462</v>
      </c>
      <c r="EN46">
        <v>45</v>
      </c>
      <c r="FO46" s="850" t="s">
        <v>517</v>
      </c>
      <c r="FP46">
        <v>45</v>
      </c>
      <c r="FQ46" s="850" t="s">
        <v>462</v>
      </c>
      <c r="FR46">
        <v>45</v>
      </c>
    </row>
    <row r="47" spans="7:174">
      <c r="G47" s="850" t="s">
        <v>518</v>
      </c>
      <c r="H47">
        <v>46</v>
      </c>
      <c r="K47" s="850" t="s">
        <v>463</v>
      </c>
      <c r="L47">
        <v>46</v>
      </c>
      <c r="AO47" s="850" t="s">
        <v>518</v>
      </c>
      <c r="AP47">
        <v>46</v>
      </c>
      <c r="AS47" s="850" t="s">
        <v>463</v>
      </c>
      <c r="AT47">
        <v>46</v>
      </c>
      <c r="BW47" s="850" t="s">
        <v>518</v>
      </c>
      <c r="BX47">
        <v>46</v>
      </c>
      <c r="CA47" s="850" t="s">
        <v>463</v>
      </c>
      <c r="CB47">
        <v>46</v>
      </c>
      <c r="DE47" s="850" t="s">
        <v>518</v>
      </c>
      <c r="DF47">
        <v>46</v>
      </c>
      <c r="DI47" s="850" t="s">
        <v>463</v>
      </c>
      <c r="DJ47">
        <v>46</v>
      </c>
      <c r="EK47" s="850" t="s">
        <v>518</v>
      </c>
      <c r="EL47">
        <v>46</v>
      </c>
      <c r="EM47" s="850" t="s">
        <v>463</v>
      </c>
      <c r="EN47">
        <v>46</v>
      </c>
      <c r="FO47" s="850" t="s">
        <v>518</v>
      </c>
      <c r="FP47">
        <v>46</v>
      </c>
      <c r="FQ47" s="850" t="s">
        <v>463</v>
      </c>
      <c r="FR47">
        <v>46</v>
      </c>
    </row>
    <row r="48" spans="7:174">
      <c r="G48" s="850" t="s">
        <v>519</v>
      </c>
      <c r="H48">
        <v>47</v>
      </c>
      <c r="K48" s="850" t="s">
        <v>464</v>
      </c>
      <c r="L48">
        <v>47</v>
      </c>
      <c r="AO48" s="850" t="s">
        <v>519</v>
      </c>
      <c r="AP48">
        <v>47</v>
      </c>
      <c r="AS48" s="850" t="s">
        <v>464</v>
      </c>
      <c r="AT48">
        <v>47</v>
      </c>
      <c r="BW48" s="850" t="s">
        <v>519</v>
      </c>
      <c r="BX48">
        <v>47</v>
      </c>
      <c r="CA48" s="850" t="s">
        <v>464</v>
      </c>
      <c r="CB48">
        <v>47</v>
      </c>
      <c r="DE48" s="850" t="s">
        <v>519</v>
      </c>
      <c r="DF48">
        <v>47</v>
      </c>
      <c r="DI48" s="850" t="s">
        <v>464</v>
      </c>
      <c r="DJ48">
        <v>47</v>
      </c>
      <c r="EK48" s="850" t="s">
        <v>519</v>
      </c>
      <c r="EL48">
        <v>47</v>
      </c>
      <c r="EM48" s="850" t="s">
        <v>464</v>
      </c>
      <c r="EN48">
        <v>47</v>
      </c>
      <c r="FO48" s="850" t="s">
        <v>519</v>
      </c>
      <c r="FP48">
        <v>47</v>
      </c>
      <c r="FQ48" s="850" t="s">
        <v>464</v>
      </c>
      <c r="FR48">
        <v>47</v>
      </c>
    </row>
    <row r="49" spans="7:174">
      <c r="G49" s="850" t="s">
        <v>520</v>
      </c>
      <c r="H49">
        <v>48</v>
      </c>
      <c r="K49" s="850" t="s">
        <v>465</v>
      </c>
      <c r="L49">
        <v>48</v>
      </c>
      <c r="AO49" s="850" t="s">
        <v>520</v>
      </c>
      <c r="AP49">
        <v>48</v>
      </c>
      <c r="AS49" s="850" t="s">
        <v>465</v>
      </c>
      <c r="AT49">
        <v>48</v>
      </c>
      <c r="BW49" s="850" t="s">
        <v>520</v>
      </c>
      <c r="BX49">
        <v>48</v>
      </c>
      <c r="CA49" s="850" t="s">
        <v>465</v>
      </c>
      <c r="CB49">
        <v>48</v>
      </c>
      <c r="DE49" s="850" t="s">
        <v>520</v>
      </c>
      <c r="DF49">
        <v>48</v>
      </c>
      <c r="DI49" s="850" t="s">
        <v>465</v>
      </c>
      <c r="DJ49">
        <v>48</v>
      </c>
      <c r="EK49" s="850" t="s">
        <v>520</v>
      </c>
      <c r="EL49">
        <v>48</v>
      </c>
      <c r="EM49" s="850" t="s">
        <v>465</v>
      </c>
      <c r="EN49">
        <v>48</v>
      </c>
      <c r="FO49" s="850" t="s">
        <v>520</v>
      </c>
      <c r="FP49">
        <v>48</v>
      </c>
      <c r="FQ49" s="850" t="s">
        <v>465</v>
      </c>
      <c r="FR49">
        <v>48</v>
      </c>
    </row>
    <row r="50" spans="7:174">
      <c r="G50" s="850" t="s">
        <v>521</v>
      </c>
      <c r="H50">
        <v>49</v>
      </c>
      <c r="K50" s="850" t="s">
        <v>466</v>
      </c>
      <c r="L50">
        <v>49</v>
      </c>
      <c r="AO50" s="850" t="s">
        <v>521</v>
      </c>
      <c r="AP50">
        <v>49</v>
      </c>
      <c r="AS50" s="850" t="s">
        <v>466</v>
      </c>
      <c r="AT50">
        <v>49</v>
      </c>
      <c r="BW50" s="850" t="s">
        <v>521</v>
      </c>
      <c r="BX50">
        <v>49</v>
      </c>
      <c r="CA50" s="850" t="s">
        <v>466</v>
      </c>
      <c r="CB50">
        <v>49</v>
      </c>
      <c r="DE50" s="850" t="s">
        <v>521</v>
      </c>
      <c r="DF50">
        <v>49</v>
      </c>
      <c r="DI50" s="850" t="s">
        <v>466</v>
      </c>
      <c r="DJ50">
        <v>49</v>
      </c>
      <c r="EK50" s="850" t="s">
        <v>521</v>
      </c>
      <c r="EL50">
        <v>49</v>
      </c>
      <c r="EM50" s="850" t="s">
        <v>466</v>
      </c>
      <c r="EN50">
        <v>49</v>
      </c>
      <c r="FO50" s="850" t="s">
        <v>521</v>
      </c>
      <c r="FP50">
        <v>49</v>
      </c>
      <c r="FQ50" s="850" t="s">
        <v>466</v>
      </c>
      <c r="FR50">
        <v>49</v>
      </c>
    </row>
    <row r="51" spans="7:174">
      <c r="G51" s="850" t="s">
        <v>420</v>
      </c>
      <c r="H51">
        <v>50</v>
      </c>
      <c r="K51" s="850" t="s">
        <v>467</v>
      </c>
      <c r="L51">
        <v>50</v>
      </c>
      <c r="AO51" s="850" t="s">
        <v>420</v>
      </c>
      <c r="AP51">
        <v>50</v>
      </c>
      <c r="AS51" s="850" t="s">
        <v>467</v>
      </c>
      <c r="AT51">
        <v>50</v>
      </c>
      <c r="BW51" s="850" t="s">
        <v>420</v>
      </c>
      <c r="BX51">
        <v>50</v>
      </c>
      <c r="CA51" s="850" t="s">
        <v>467</v>
      </c>
      <c r="CB51">
        <v>50</v>
      </c>
      <c r="DE51" s="850" t="s">
        <v>420</v>
      </c>
      <c r="DF51">
        <v>50</v>
      </c>
      <c r="DI51" s="850" t="s">
        <v>467</v>
      </c>
      <c r="DJ51">
        <v>50</v>
      </c>
      <c r="EK51" s="850" t="s">
        <v>420</v>
      </c>
      <c r="EL51">
        <v>50</v>
      </c>
      <c r="EM51" s="850" t="s">
        <v>467</v>
      </c>
      <c r="EN51">
        <v>50</v>
      </c>
      <c r="FO51" s="850" t="s">
        <v>420</v>
      </c>
      <c r="FP51">
        <v>50</v>
      </c>
      <c r="FQ51" s="850" t="s">
        <v>467</v>
      </c>
      <c r="FR51">
        <v>50</v>
      </c>
    </row>
    <row r="52" spans="7:174">
      <c r="G52" s="850" t="s">
        <v>522</v>
      </c>
      <c r="H52">
        <v>51</v>
      </c>
      <c r="K52" s="850" t="s">
        <v>468</v>
      </c>
      <c r="L52">
        <v>51</v>
      </c>
      <c r="AO52" s="850" t="s">
        <v>522</v>
      </c>
      <c r="AP52">
        <v>51</v>
      </c>
      <c r="AS52" s="850" t="s">
        <v>468</v>
      </c>
      <c r="AT52">
        <v>51</v>
      </c>
      <c r="BW52" s="850" t="s">
        <v>522</v>
      </c>
      <c r="BX52">
        <v>51</v>
      </c>
      <c r="CA52" s="850" t="s">
        <v>468</v>
      </c>
      <c r="CB52">
        <v>51</v>
      </c>
      <c r="DE52" s="850" t="s">
        <v>522</v>
      </c>
      <c r="DF52">
        <v>51</v>
      </c>
      <c r="DI52" s="850" t="s">
        <v>468</v>
      </c>
      <c r="DJ52">
        <v>51</v>
      </c>
      <c r="EK52" s="850" t="s">
        <v>522</v>
      </c>
      <c r="EL52">
        <v>51</v>
      </c>
      <c r="EM52" s="850" t="s">
        <v>468</v>
      </c>
      <c r="EN52">
        <v>51</v>
      </c>
      <c r="FO52" s="850" t="s">
        <v>522</v>
      </c>
      <c r="FP52">
        <v>51</v>
      </c>
      <c r="FQ52" s="850" t="s">
        <v>468</v>
      </c>
      <c r="FR52">
        <v>51</v>
      </c>
    </row>
    <row r="53" spans="7:174">
      <c r="K53" s="850" t="s">
        <v>469</v>
      </c>
      <c r="L53">
        <v>52</v>
      </c>
      <c r="AS53" s="850" t="s">
        <v>469</v>
      </c>
      <c r="AT53">
        <v>52</v>
      </c>
      <c r="CA53" s="850" t="s">
        <v>469</v>
      </c>
      <c r="CB53">
        <v>52</v>
      </c>
      <c r="DI53" s="850" t="s">
        <v>469</v>
      </c>
      <c r="DJ53">
        <v>52</v>
      </c>
      <c r="EM53" s="850" t="s">
        <v>469</v>
      </c>
      <c r="EN53">
        <v>52</v>
      </c>
      <c r="FQ53" s="850" t="s">
        <v>469</v>
      </c>
      <c r="FR53">
        <v>52</v>
      </c>
    </row>
    <row r="54" spans="7:174">
      <c r="K54" s="850" t="s">
        <v>470</v>
      </c>
      <c r="L54">
        <v>53</v>
      </c>
      <c r="AS54" s="850" t="s">
        <v>470</v>
      </c>
      <c r="AT54">
        <v>53</v>
      </c>
      <c r="CA54" s="850" t="s">
        <v>470</v>
      </c>
      <c r="CB54">
        <v>53</v>
      </c>
      <c r="DI54" s="850" t="s">
        <v>470</v>
      </c>
      <c r="DJ54">
        <v>53</v>
      </c>
      <c r="EM54" s="850" t="s">
        <v>470</v>
      </c>
      <c r="EN54">
        <v>53</v>
      </c>
      <c r="FQ54" s="850" t="s">
        <v>470</v>
      </c>
      <c r="FR54">
        <v>53</v>
      </c>
    </row>
    <row r="55" spans="7:174">
      <c r="K55" s="850" t="s">
        <v>471</v>
      </c>
      <c r="L55">
        <v>54</v>
      </c>
      <c r="AS55" s="850" t="s">
        <v>471</v>
      </c>
      <c r="AT55">
        <v>54</v>
      </c>
      <c r="CA55" s="850" t="s">
        <v>471</v>
      </c>
      <c r="CB55">
        <v>54</v>
      </c>
      <c r="DI55" s="850" t="s">
        <v>471</v>
      </c>
      <c r="DJ55">
        <v>54</v>
      </c>
      <c r="EM55" s="850" t="s">
        <v>471</v>
      </c>
      <c r="EN55">
        <v>54</v>
      </c>
      <c r="FQ55" s="850" t="s">
        <v>471</v>
      </c>
      <c r="FR55">
        <v>54</v>
      </c>
    </row>
    <row r="56" spans="7:174">
      <c r="K56" s="850" t="s">
        <v>472</v>
      </c>
      <c r="L56">
        <v>55</v>
      </c>
      <c r="AS56" s="850" t="s">
        <v>472</v>
      </c>
      <c r="AT56">
        <v>55</v>
      </c>
      <c r="CA56" s="850" t="s">
        <v>472</v>
      </c>
      <c r="CB56">
        <v>55</v>
      </c>
      <c r="DI56" s="850" t="s">
        <v>472</v>
      </c>
      <c r="DJ56">
        <v>55</v>
      </c>
      <c r="EM56" s="850" t="s">
        <v>472</v>
      </c>
      <c r="EN56">
        <v>55</v>
      </c>
      <c r="FQ56" s="850" t="s">
        <v>472</v>
      </c>
      <c r="FR56">
        <v>55</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50">
    <pageSetUpPr fitToPage="1"/>
  </sheetPr>
  <dimension ref="A1:W59"/>
  <sheetViews>
    <sheetView workbookViewId="0"/>
  </sheetViews>
  <sheetFormatPr defaultColWidth="10.7109375" defaultRowHeight="12.75"/>
  <cols>
    <col min="1" max="1" width="4.7109375" style="986" customWidth="1"/>
    <col min="2" max="2" width="3.28515625" style="995" customWidth="1"/>
    <col min="3" max="4" width="5.7109375" style="995" customWidth="1"/>
    <col min="5" max="5" width="7.7109375" style="995" customWidth="1"/>
    <col min="6" max="6" width="10.7109375" style="995" customWidth="1"/>
    <col min="7" max="7" width="8.7109375" style="984" customWidth="1"/>
    <col min="8" max="8" width="21.42578125" style="995" bestFit="1" customWidth="1"/>
    <col min="9" max="12" width="9.7109375" style="995" customWidth="1"/>
    <col min="13" max="13" width="9.7109375" style="986" customWidth="1"/>
    <col min="14" max="14" width="5.7109375" style="986" customWidth="1"/>
    <col min="15" max="15" width="22.7109375" style="1562" customWidth="1"/>
    <col min="16" max="16" width="15.7109375" style="1562" customWidth="1"/>
    <col min="17" max="20" width="9.7109375" style="1562" customWidth="1"/>
    <col min="21" max="21" width="5.7109375" style="6" customWidth="1"/>
    <col min="22" max="22" width="20.140625" style="986" hidden="1" customWidth="1"/>
    <col min="23" max="23" width="5.7109375" style="6" customWidth="1"/>
    <col min="24" max="254" width="9.7109375" style="986" customWidth="1"/>
    <col min="255" max="16384" width="10.7109375" style="986"/>
  </cols>
  <sheetData>
    <row r="1" spans="1:23">
      <c r="A1" s="1302" t="str">
        <f>IF('FORM 1040-1'!D15="","",'FORM 1040-1'!D15)</f>
        <v/>
      </c>
      <c r="B1" s="1306"/>
      <c r="C1" s="1306"/>
      <c r="D1" s="1306"/>
      <c r="E1" s="1306"/>
      <c r="F1" s="1306"/>
      <c r="G1" s="1304"/>
      <c r="H1" s="1306"/>
      <c r="I1" s="1306"/>
      <c r="J1" s="1306"/>
      <c r="K1" s="1306"/>
      <c r="L1" s="1306"/>
      <c r="M1" s="1294" t="str">
        <f>IF('FORM 1040-1'!$E$12="","",'FORM 1040-1'!$E$12)</f>
        <v/>
      </c>
      <c r="V1" s="22" t="s">
        <v>2082</v>
      </c>
    </row>
    <row r="2" spans="1:23">
      <c r="V2" s="22" t="s">
        <v>2083</v>
      </c>
    </row>
    <row r="3" spans="1:23" ht="18.75">
      <c r="A3" s="1992" t="s">
        <v>2825</v>
      </c>
      <c r="B3" s="1992"/>
      <c r="C3" s="1992"/>
      <c r="D3" s="1992"/>
      <c r="E3" s="1992"/>
      <c r="F3" s="1992"/>
      <c r="G3" s="1992"/>
      <c r="H3" s="1992"/>
      <c r="I3" s="1992"/>
      <c r="J3" s="1992"/>
      <c r="K3" s="1992"/>
      <c r="L3" s="1992"/>
      <c r="M3" s="1992"/>
      <c r="O3" s="1800" t="s">
        <v>1621</v>
      </c>
      <c r="P3" s="1800"/>
      <c r="U3" s="99"/>
      <c r="V3" s="22" t="s">
        <v>2721</v>
      </c>
      <c r="W3" s="99"/>
    </row>
    <row r="4" spans="1:23">
      <c r="O4" s="1800"/>
      <c r="P4" s="1800"/>
      <c r="U4" s="99"/>
      <c r="V4" s="1558"/>
      <c r="W4" s="99"/>
    </row>
    <row r="5" spans="1:23" ht="15" customHeight="1">
      <c r="A5" s="984" t="s">
        <v>252</v>
      </c>
      <c r="B5" s="1694" t="s">
        <v>2826</v>
      </c>
      <c r="C5" s="1694"/>
      <c r="D5" s="1694"/>
      <c r="E5" s="1694"/>
      <c r="F5" s="1694"/>
      <c r="G5" s="1694"/>
      <c r="H5" s="1694"/>
      <c r="I5" s="1694"/>
      <c r="J5" s="1694"/>
      <c r="K5" s="1694"/>
      <c r="L5" s="994"/>
      <c r="O5" s="1800"/>
      <c r="P5" s="1800"/>
      <c r="U5" s="99"/>
      <c r="V5" s="1558"/>
      <c r="W5" s="99"/>
    </row>
    <row r="6" spans="1:23" ht="12" customHeight="1">
      <c r="O6" s="1800"/>
      <c r="P6" s="1800"/>
      <c r="U6" s="99"/>
      <c r="V6" s="1558"/>
      <c r="W6" s="99"/>
    </row>
    <row r="7" spans="1:23" ht="15" customHeight="1">
      <c r="B7" s="1994" t="s">
        <v>2729</v>
      </c>
      <c r="C7" s="1994"/>
      <c r="D7" s="1994"/>
      <c r="E7" s="1994"/>
      <c r="F7" s="1994"/>
      <c r="G7" s="1994"/>
      <c r="H7" s="1994"/>
      <c r="I7" s="1994"/>
      <c r="J7" s="1994"/>
      <c r="K7" s="1994"/>
      <c r="L7" s="1994"/>
      <c r="M7" s="1994"/>
      <c r="U7" s="99"/>
      <c r="V7" s="1480"/>
      <c r="W7" s="99"/>
    </row>
    <row r="8" spans="1:23" ht="26.1" customHeight="1">
      <c r="B8" s="1656" t="s">
        <v>2728</v>
      </c>
      <c r="C8" s="1656"/>
      <c r="D8" s="1656"/>
      <c r="E8" s="1656"/>
      <c r="F8" s="1656"/>
      <c r="G8" s="1656"/>
      <c r="H8" s="1656"/>
      <c r="I8" s="1656"/>
      <c r="J8" s="1656"/>
      <c r="K8" s="1656"/>
      <c r="L8" s="1656"/>
      <c r="M8" s="1656"/>
      <c r="U8" s="99"/>
      <c r="V8" s="1480"/>
      <c r="W8" s="99"/>
    </row>
    <row r="9" spans="1:23" ht="6" customHeight="1" thickBot="1">
      <c r="B9" s="992"/>
      <c r="C9" s="992"/>
      <c r="D9" s="992"/>
      <c r="E9" s="992"/>
      <c r="F9" s="992"/>
      <c r="G9" s="992"/>
      <c r="H9" s="992"/>
      <c r="I9" s="992"/>
      <c r="J9" s="992"/>
      <c r="K9" s="992"/>
      <c r="L9" s="992"/>
      <c r="M9" s="992"/>
      <c r="U9" s="99"/>
      <c r="V9" s="1480"/>
      <c r="W9" s="99"/>
    </row>
    <row r="10" spans="1:23" s="994" customFormat="1" ht="15" customHeight="1" thickTop="1" thickBot="1">
      <c r="B10" s="996"/>
      <c r="C10" s="1593" t="s">
        <v>2089</v>
      </c>
      <c r="D10" s="1995"/>
      <c r="E10" s="204"/>
      <c r="F10" s="1996" t="s">
        <v>2253</v>
      </c>
      <c r="G10" s="1997"/>
      <c r="H10" s="1997"/>
      <c r="I10" s="996"/>
      <c r="J10" s="996"/>
      <c r="K10" s="996"/>
      <c r="L10" s="996"/>
      <c r="M10" s="996"/>
      <c r="O10" s="1564"/>
      <c r="P10" s="1564"/>
      <c r="Q10" s="1564"/>
      <c r="R10" s="1564"/>
      <c r="S10" s="1564"/>
      <c r="T10" s="1564"/>
      <c r="U10" s="1029"/>
      <c r="V10" s="995"/>
      <c r="W10" s="1029"/>
    </row>
    <row r="11" spans="1:23" s="1500" customFormat="1" ht="6" customHeight="1" thickTop="1" thickBot="1">
      <c r="B11" s="1501"/>
      <c r="C11" s="1501"/>
      <c r="D11" s="1501"/>
      <c r="E11" s="1501"/>
      <c r="F11" s="1501"/>
      <c r="G11" s="1501"/>
      <c r="H11" s="1501"/>
      <c r="I11" s="1501"/>
      <c r="J11" s="1501"/>
      <c r="K11" s="1501"/>
      <c r="L11" s="1501"/>
      <c r="M11" s="1501"/>
      <c r="O11" s="1564"/>
      <c r="P11" s="1564"/>
      <c r="Q11" s="1564"/>
      <c r="R11" s="1564"/>
      <c r="S11" s="1564"/>
      <c r="T11" s="1564"/>
      <c r="U11" s="1029"/>
      <c r="V11" s="995"/>
      <c r="W11" s="1029"/>
    </row>
    <row r="12" spans="1:23" s="1500" customFormat="1" ht="15" customHeight="1" thickTop="1" thickBot="1">
      <c r="B12" s="1501"/>
      <c r="C12" s="1593" t="s">
        <v>2089</v>
      </c>
      <c r="D12" s="1995"/>
      <c r="E12" s="204"/>
      <c r="F12" s="1996" t="s">
        <v>2090</v>
      </c>
      <c r="G12" s="1997"/>
      <c r="H12" s="1997"/>
      <c r="I12" s="1998" t="s">
        <v>2839</v>
      </c>
      <c r="J12" s="1998"/>
      <c r="K12" s="1998"/>
      <c r="L12" s="1998"/>
      <c r="M12" s="1998"/>
      <c r="O12" s="1564"/>
      <c r="P12" s="1564"/>
      <c r="Q12" s="1564"/>
      <c r="R12" s="1564"/>
      <c r="S12" s="1564"/>
      <c r="T12" s="1564"/>
      <c r="U12" s="1029"/>
      <c r="V12" s="1498"/>
      <c r="W12" s="1029"/>
    </row>
    <row r="13" spans="1:23" s="994" customFormat="1" ht="6" customHeight="1" thickTop="1" thickBot="1">
      <c r="B13" s="996"/>
      <c r="C13" s="996"/>
      <c r="D13" s="996"/>
      <c r="E13" s="996"/>
      <c r="F13" s="996"/>
      <c r="G13" s="996"/>
      <c r="H13" s="996"/>
      <c r="I13" s="996"/>
      <c r="J13" s="996"/>
      <c r="K13" s="996"/>
      <c r="L13" s="996"/>
      <c r="M13" s="996"/>
      <c r="O13" s="1564"/>
      <c r="P13" s="1564"/>
      <c r="Q13" s="1564"/>
      <c r="R13" s="1564"/>
      <c r="S13" s="1564"/>
      <c r="T13" s="1564"/>
      <c r="U13" s="1029"/>
      <c r="V13" s="1498"/>
      <c r="W13" s="1029"/>
    </row>
    <row r="14" spans="1:23" s="995" customFormat="1" ht="15" customHeight="1" thickTop="1" thickBot="1">
      <c r="G14" s="984"/>
      <c r="I14" s="1780" t="s">
        <v>2827</v>
      </c>
      <c r="J14" s="1843"/>
      <c r="K14" s="1781"/>
      <c r="L14" s="1003" t="s">
        <v>2077</v>
      </c>
      <c r="M14" s="1003" t="s">
        <v>561</v>
      </c>
      <c r="O14" s="1558"/>
      <c r="P14" s="1558"/>
      <c r="Q14" s="1558"/>
      <c r="R14" s="1558"/>
      <c r="S14" s="1558"/>
      <c r="T14" s="1558"/>
      <c r="U14" s="99"/>
      <c r="W14" s="99"/>
    </row>
    <row r="15" spans="1:23" s="995" customFormat="1" ht="15" customHeight="1" thickTop="1">
      <c r="B15" s="999"/>
      <c r="C15" s="1613"/>
      <c r="D15" s="1615"/>
      <c r="E15" s="989" t="s">
        <v>162</v>
      </c>
      <c r="F15" s="989" t="s">
        <v>211</v>
      </c>
      <c r="G15" s="989" t="s">
        <v>1843</v>
      </c>
      <c r="H15" s="989" t="s">
        <v>2081</v>
      </c>
      <c r="I15" s="989" t="s">
        <v>2080</v>
      </c>
      <c r="J15" s="989" t="s">
        <v>2079</v>
      </c>
      <c r="K15" s="989" t="s">
        <v>2832</v>
      </c>
      <c r="L15" s="46" t="s">
        <v>2078</v>
      </c>
      <c r="M15" s="46" t="s">
        <v>663</v>
      </c>
      <c r="O15" s="1558"/>
      <c r="P15" s="1558"/>
      <c r="Q15" s="1558"/>
      <c r="R15" s="1558"/>
      <c r="S15" s="1558"/>
      <c r="T15" s="1558"/>
      <c r="U15" s="99"/>
      <c r="W15" s="99"/>
    </row>
    <row r="16" spans="1:23" s="995" customFormat="1" ht="15" customHeight="1">
      <c r="B16" s="999"/>
      <c r="C16" s="1610" t="s">
        <v>213</v>
      </c>
      <c r="D16" s="1612"/>
      <c r="E16" s="988" t="s">
        <v>214</v>
      </c>
      <c r="F16" s="988" t="s">
        <v>209</v>
      </c>
      <c r="G16" s="988" t="s">
        <v>219</v>
      </c>
      <c r="H16" s="988" t="s">
        <v>2837</v>
      </c>
      <c r="I16" s="988" t="s">
        <v>2827</v>
      </c>
      <c r="J16" s="988" t="s">
        <v>2827</v>
      </c>
      <c r="K16" s="110" t="s">
        <v>215</v>
      </c>
      <c r="L16" s="110" t="s">
        <v>219</v>
      </c>
      <c r="M16" s="110" t="s">
        <v>212</v>
      </c>
      <c r="O16" s="1558"/>
      <c r="P16" s="1558"/>
      <c r="Q16" s="1558"/>
      <c r="R16" s="1558"/>
      <c r="S16" s="1558"/>
      <c r="T16" s="1558"/>
      <c r="U16" s="99"/>
      <c r="W16" s="99"/>
    </row>
    <row r="17" spans="2:23" s="995" customFormat="1" ht="15" customHeight="1" thickBot="1">
      <c r="B17" s="999"/>
      <c r="C17" s="1629" t="s">
        <v>218</v>
      </c>
      <c r="D17" s="1630"/>
      <c r="E17" s="990" t="s">
        <v>115</v>
      </c>
      <c r="F17" s="990" t="s">
        <v>221</v>
      </c>
      <c r="G17" s="1002" t="s">
        <v>662</v>
      </c>
      <c r="H17" s="990" t="s">
        <v>2838</v>
      </c>
      <c r="I17" s="1002" t="s">
        <v>2831</v>
      </c>
      <c r="J17" s="1002" t="s">
        <v>2831</v>
      </c>
      <c r="K17" s="1002" t="s">
        <v>219</v>
      </c>
      <c r="L17" s="51" t="s">
        <v>2830</v>
      </c>
      <c r="M17" s="51" t="s">
        <v>217</v>
      </c>
      <c r="O17" s="1558"/>
      <c r="P17" s="1558"/>
      <c r="Q17" s="1558"/>
      <c r="R17" s="1558"/>
      <c r="S17" s="1558"/>
      <c r="T17" s="1558"/>
      <c r="U17" s="99"/>
      <c r="W17" s="99"/>
    </row>
    <row r="18" spans="2:23" s="995" customFormat="1" ht="15.95" customHeight="1" thickTop="1" thickBot="1">
      <c r="B18" s="310">
        <v>1</v>
      </c>
      <c r="C18" s="1981" t="str">
        <f>IF('FORM 1040-2'!B7="","",('FORM 1040-2'!B7))</f>
        <v/>
      </c>
      <c r="D18" s="1982"/>
      <c r="E18" s="1001" t="str">
        <f>IF('FORM 1040-2'!C7="","",('FORM 1040-2'!C7))</f>
        <v/>
      </c>
      <c r="F18" s="1028" t="str">
        <f>IF('FORM 1040-10'!I8="","",('FORM 1040-10'!I8))</f>
        <v/>
      </c>
      <c r="G18" s="1001" t="str">
        <f>IF('FORM 1040-2'!I7="","",('FORM 1040-2'!I7))</f>
        <v/>
      </c>
      <c r="H18" s="73"/>
      <c r="I18" s="58"/>
      <c r="J18" s="58"/>
      <c r="K18" s="58"/>
      <c r="L18" s="58"/>
      <c r="M18" s="340" t="str">
        <f>IF('FORM 1040-10'!M8="","",('FORM 1040-10'!M8))</f>
        <v/>
      </c>
      <c r="O18" s="1668" t="s">
        <v>2828</v>
      </c>
      <c r="P18" s="1668"/>
      <c r="Q18" s="1668"/>
      <c r="R18" s="1668"/>
      <c r="S18" s="1668"/>
      <c r="T18" s="1558"/>
      <c r="U18" s="99"/>
      <c r="W18" s="99"/>
    </row>
    <row r="19" spans="2:23" s="995" customFormat="1" ht="15.95" customHeight="1" thickTop="1" thickBot="1">
      <c r="B19" s="310">
        <v>2</v>
      </c>
      <c r="C19" s="1981" t="str">
        <f>IF('FORM 1040-2'!B8="","",('FORM 1040-2'!B8))</f>
        <v/>
      </c>
      <c r="D19" s="1982"/>
      <c r="E19" s="1001" t="str">
        <f>IF('FORM 1040-2'!C8="","",('FORM 1040-2'!C8))</f>
        <v/>
      </c>
      <c r="F19" s="1028" t="str">
        <f>IF('FORM 1040-10'!I9="","",('FORM 1040-10'!I9))</f>
        <v/>
      </c>
      <c r="G19" s="1001" t="str">
        <f>+'FORM 1040-2'!T8</f>
        <v/>
      </c>
      <c r="H19" s="73"/>
      <c r="I19" s="58"/>
      <c r="J19" s="58"/>
      <c r="K19" s="58"/>
      <c r="L19" s="58"/>
      <c r="M19" s="340" t="str">
        <f>IF('FORM 1040-10'!M9="","",('FORM 1040-10'!M9))</f>
        <v/>
      </c>
      <c r="O19" s="1668" t="s">
        <v>2829</v>
      </c>
      <c r="P19" s="1668"/>
      <c r="Q19" s="1668"/>
      <c r="R19" s="1668"/>
      <c r="S19" s="1668"/>
      <c r="T19" s="1558"/>
      <c r="U19" s="99"/>
      <c r="W19" s="99"/>
    </row>
    <row r="20" spans="2:23" s="995" customFormat="1" ht="15.95" customHeight="1" thickTop="1" thickBot="1">
      <c r="B20" s="310">
        <v>3</v>
      </c>
      <c r="C20" s="1981" t="str">
        <f>IF('FORM 1040-2'!B9="","",('FORM 1040-2'!B9))</f>
        <v/>
      </c>
      <c r="D20" s="1982"/>
      <c r="E20" s="1001" t="str">
        <f>IF('FORM 1040-2'!C9="","",('FORM 1040-2'!C9))</f>
        <v/>
      </c>
      <c r="F20" s="1028" t="str">
        <f>IF('FORM 1040-10'!I10="","",('FORM 1040-10'!I10))</f>
        <v/>
      </c>
      <c r="G20" s="1001" t="str">
        <f>+'FORM 1040-2'!T9</f>
        <v/>
      </c>
      <c r="H20" s="73"/>
      <c r="I20" s="58"/>
      <c r="J20" s="58"/>
      <c r="K20" s="58"/>
      <c r="L20" s="58"/>
      <c r="M20" s="340" t="str">
        <f>IF('FORM 1040-10'!M10="","",('FORM 1040-10'!M10))</f>
        <v/>
      </c>
      <c r="O20" s="1753" t="s">
        <v>2834</v>
      </c>
      <c r="P20" s="1753"/>
      <c r="Q20" s="1753"/>
      <c r="R20" s="1753"/>
      <c r="S20" s="1753"/>
      <c r="T20" s="1558"/>
      <c r="U20" s="99"/>
      <c r="W20" s="99"/>
    </row>
    <row r="21" spans="2:23" s="995" customFormat="1" ht="15.95" customHeight="1" thickTop="1" thickBot="1">
      <c r="B21" s="310">
        <v>4</v>
      </c>
      <c r="C21" s="1981" t="str">
        <f>IF('FORM 1040-2'!B10="","",('FORM 1040-2'!B10))</f>
        <v/>
      </c>
      <c r="D21" s="1982"/>
      <c r="E21" s="1001" t="str">
        <f>IF('FORM 1040-2'!C10="","",('FORM 1040-2'!C10))</f>
        <v/>
      </c>
      <c r="F21" s="1028" t="str">
        <f>IF('FORM 1040-10'!I11="","",('FORM 1040-10'!I11))</f>
        <v/>
      </c>
      <c r="G21" s="1001" t="str">
        <f>+'FORM 1040-2'!T10</f>
        <v/>
      </c>
      <c r="H21" s="73"/>
      <c r="I21" s="58"/>
      <c r="J21" s="58"/>
      <c r="K21" s="58"/>
      <c r="L21" s="58"/>
      <c r="M21" s="340" t="str">
        <f>IF('FORM 1040-10'!M11="","",('FORM 1040-10'!M11))</f>
        <v/>
      </c>
      <c r="O21" s="1753"/>
      <c r="P21" s="1753"/>
      <c r="Q21" s="1753"/>
      <c r="R21" s="1753"/>
      <c r="S21" s="1753"/>
      <c r="T21" s="1558"/>
      <c r="U21" s="99"/>
      <c r="W21" s="99"/>
    </row>
    <row r="22" spans="2:23" s="995" customFormat="1" ht="15.95" customHeight="1" thickTop="1" thickBot="1">
      <c r="B22" s="310">
        <v>5</v>
      </c>
      <c r="C22" s="1981" t="str">
        <f>IF('FORM 1040-2'!B11="","",('FORM 1040-2'!B11))</f>
        <v/>
      </c>
      <c r="D22" s="1982"/>
      <c r="E22" s="1001" t="str">
        <f>IF('FORM 1040-2'!C11="","",('FORM 1040-2'!C11))</f>
        <v/>
      </c>
      <c r="F22" s="1028" t="str">
        <f>IF('FORM 1040-10'!I12="","",('FORM 1040-10'!I12))</f>
        <v/>
      </c>
      <c r="G22" s="1001" t="str">
        <f>+'FORM 1040-2'!T11</f>
        <v/>
      </c>
      <c r="H22" s="73"/>
      <c r="I22" s="58"/>
      <c r="J22" s="58"/>
      <c r="K22" s="58"/>
      <c r="L22" s="58"/>
      <c r="M22" s="340" t="str">
        <f>IF('FORM 1040-10'!M12="","",('FORM 1040-10'!M12))</f>
        <v/>
      </c>
      <c r="O22" s="1991" t="s">
        <v>2835</v>
      </c>
      <c r="P22" s="1991"/>
      <c r="Q22" s="1991"/>
      <c r="R22" s="1991"/>
      <c r="S22" s="1991"/>
      <c r="T22" s="1558"/>
      <c r="U22" s="99"/>
      <c r="W22" s="99"/>
    </row>
    <row r="23" spans="2:23" s="995" customFormat="1" ht="15.95" customHeight="1" thickTop="1" thickBot="1">
      <c r="B23" s="310">
        <v>6</v>
      </c>
      <c r="C23" s="1981" t="str">
        <f>IF('FORM 1040-2'!B12="","",('FORM 1040-2'!B12))</f>
        <v/>
      </c>
      <c r="D23" s="1982"/>
      <c r="E23" s="1001" t="str">
        <f>IF('FORM 1040-2'!C12="","",('FORM 1040-2'!C12))</f>
        <v/>
      </c>
      <c r="F23" s="1028" t="str">
        <f>IF('FORM 1040-10'!I13="","",('FORM 1040-10'!I13))</f>
        <v/>
      </c>
      <c r="G23" s="1001" t="str">
        <f>+'FORM 1040-2'!T12</f>
        <v/>
      </c>
      <c r="H23" s="73"/>
      <c r="I23" s="58"/>
      <c r="J23" s="58"/>
      <c r="K23" s="58"/>
      <c r="L23" s="58"/>
      <c r="M23" s="340" t="str">
        <f>IF('FORM 1040-10'!M13="","",('FORM 1040-10'!M13))</f>
        <v/>
      </c>
      <c r="O23" s="1668"/>
      <c r="P23" s="1668"/>
      <c r="Q23" s="1668"/>
      <c r="R23" s="1668"/>
      <c r="S23" s="1668"/>
      <c r="T23" s="1558"/>
      <c r="U23" s="99"/>
      <c r="W23" s="99"/>
    </row>
    <row r="24" spans="2:23" s="995" customFormat="1" ht="15.95" customHeight="1" thickTop="1" thickBot="1">
      <c r="B24" s="310">
        <v>7</v>
      </c>
      <c r="C24" s="1981" t="str">
        <f>IF('FORM 1040-2'!B13="","",('FORM 1040-2'!B13))</f>
        <v/>
      </c>
      <c r="D24" s="1982"/>
      <c r="E24" s="1001" t="str">
        <f>IF('FORM 1040-2'!C13="","",('FORM 1040-2'!C13))</f>
        <v/>
      </c>
      <c r="F24" s="1028" t="str">
        <f>IF('FORM 1040-10'!I14="","",('FORM 1040-10'!I14))</f>
        <v/>
      </c>
      <c r="G24" s="1001" t="str">
        <f>+'FORM 1040-2'!T13</f>
        <v/>
      </c>
      <c r="H24" s="73"/>
      <c r="I24" s="58"/>
      <c r="J24" s="58"/>
      <c r="K24" s="58"/>
      <c r="L24" s="58"/>
      <c r="M24" s="340" t="str">
        <f>IF('FORM 1040-10'!M14="","",('FORM 1040-10'!M14))</f>
        <v/>
      </c>
      <c r="O24" s="1753" t="s">
        <v>2833</v>
      </c>
      <c r="P24" s="1753"/>
      <c r="Q24" s="1753"/>
      <c r="R24" s="1753"/>
      <c r="S24" s="1753"/>
      <c r="T24" s="1558"/>
      <c r="U24" s="99"/>
      <c r="W24" s="99"/>
    </row>
    <row r="25" spans="2:23" s="995" customFormat="1" ht="15.95" customHeight="1" thickTop="1" thickBot="1">
      <c r="B25" s="310">
        <v>8</v>
      </c>
      <c r="C25" s="1981" t="str">
        <f>IF('FORM 1040-2'!B14="","",('FORM 1040-2'!B14))</f>
        <v/>
      </c>
      <c r="D25" s="1982"/>
      <c r="E25" s="1001" t="str">
        <f>IF('FORM 1040-2'!C14="","",('FORM 1040-2'!C14))</f>
        <v/>
      </c>
      <c r="F25" s="1028" t="str">
        <f>IF('FORM 1040-10'!I15="","",('FORM 1040-10'!I15))</f>
        <v/>
      </c>
      <c r="G25" s="1001" t="str">
        <f>+'FORM 1040-2'!T14</f>
        <v/>
      </c>
      <c r="H25" s="73"/>
      <c r="I25" s="58"/>
      <c r="J25" s="58"/>
      <c r="K25" s="58"/>
      <c r="L25" s="58"/>
      <c r="M25" s="340" t="str">
        <f>IF('FORM 1040-10'!M15="","",('FORM 1040-10'!M15))</f>
        <v/>
      </c>
      <c r="O25" s="1753"/>
      <c r="P25" s="1753"/>
      <c r="Q25" s="1753"/>
      <c r="R25" s="1753"/>
      <c r="S25" s="1753"/>
      <c r="T25" s="1558"/>
      <c r="U25" s="99"/>
      <c r="W25" s="99"/>
    </row>
    <row r="26" spans="2:23" s="995" customFormat="1" ht="15.95" customHeight="1" thickTop="1" thickBot="1">
      <c r="B26" s="310">
        <v>9</v>
      </c>
      <c r="C26" s="1981" t="str">
        <f>IF('FORM 1040-2'!B15="","",('FORM 1040-2'!B15))</f>
        <v/>
      </c>
      <c r="D26" s="1982"/>
      <c r="E26" s="1001" t="str">
        <f>IF('FORM 1040-2'!C15="","",('FORM 1040-2'!C15))</f>
        <v/>
      </c>
      <c r="F26" s="1028" t="str">
        <f>IF('FORM 1040-10'!I16="","",('FORM 1040-10'!I16))</f>
        <v/>
      </c>
      <c r="G26" s="1001" t="str">
        <f>+'FORM 1040-2'!T15</f>
        <v/>
      </c>
      <c r="H26" s="73"/>
      <c r="I26" s="58"/>
      <c r="J26" s="58"/>
      <c r="K26" s="58"/>
      <c r="L26" s="58"/>
      <c r="M26" s="340" t="str">
        <f>IF('FORM 1040-10'!M16="","",('FORM 1040-10'!M16))</f>
        <v/>
      </c>
      <c r="O26" s="1991" t="s">
        <v>2836</v>
      </c>
      <c r="P26" s="1991"/>
      <c r="Q26" s="1991"/>
      <c r="R26" s="1991"/>
      <c r="S26" s="1991"/>
      <c r="T26" s="1558"/>
      <c r="U26" s="99"/>
      <c r="W26" s="99"/>
    </row>
    <row r="27" spans="2:23" s="995" customFormat="1" ht="15.95" customHeight="1" thickTop="1" thickBot="1">
      <c r="B27" s="310">
        <v>10</v>
      </c>
      <c r="C27" s="1981" t="str">
        <f>IF('FORM 1040-2'!B16="","",('FORM 1040-2'!B16))</f>
        <v/>
      </c>
      <c r="D27" s="1982"/>
      <c r="E27" s="1001" t="str">
        <f>IF('FORM 1040-2'!C16="","",('FORM 1040-2'!C16))</f>
        <v/>
      </c>
      <c r="F27" s="1028" t="str">
        <f>IF('FORM 1040-10'!I17="","",('FORM 1040-10'!I17))</f>
        <v/>
      </c>
      <c r="G27" s="1001" t="str">
        <f>+'FORM 1040-2'!T16</f>
        <v/>
      </c>
      <c r="H27" s="73"/>
      <c r="I27" s="58"/>
      <c r="J27" s="58"/>
      <c r="K27" s="58"/>
      <c r="L27" s="58"/>
      <c r="M27" s="340" t="str">
        <f>IF('FORM 1040-10'!M17="","",('FORM 1040-10'!M17))</f>
        <v/>
      </c>
      <c r="O27" s="1558"/>
      <c r="P27" s="1558"/>
      <c r="Q27" s="1558"/>
      <c r="R27" s="1558"/>
      <c r="S27" s="1558"/>
      <c r="T27" s="1558"/>
      <c r="U27" s="99"/>
      <c r="W27" s="99"/>
    </row>
    <row r="28" spans="2:23" s="995" customFormat="1" ht="15.95" customHeight="1" thickTop="1" thickBot="1">
      <c r="B28" s="310">
        <v>11</v>
      </c>
      <c r="C28" s="1981" t="str">
        <f>IF('FORM 1040-2'!B17="","",('FORM 1040-2'!B17))</f>
        <v/>
      </c>
      <c r="D28" s="1982"/>
      <c r="E28" s="1001" t="str">
        <f>IF('FORM 1040-2'!C17="","",('FORM 1040-2'!C17))</f>
        <v/>
      </c>
      <c r="F28" s="1028" t="str">
        <f>IF('FORM 1040-10'!I18="","",('FORM 1040-10'!I18))</f>
        <v/>
      </c>
      <c r="G28" s="1001" t="str">
        <f>+'FORM 1040-2'!T17</f>
        <v/>
      </c>
      <c r="H28" s="73"/>
      <c r="I28" s="58"/>
      <c r="J28" s="58"/>
      <c r="K28" s="58"/>
      <c r="L28" s="58"/>
      <c r="M28" s="340" t="str">
        <f>IF('FORM 1040-10'!M18="","",('FORM 1040-10'!M18))</f>
        <v/>
      </c>
      <c r="O28" s="1558"/>
      <c r="P28" s="1558"/>
      <c r="Q28" s="1558"/>
      <c r="R28" s="1558"/>
      <c r="S28" s="1558"/>
      <c r="T28" s="1558"/>
      <c r="U28" s="99"/>
      <c r="W28" s="99"/>
    </row>
    <row r="29" spans="2:23" s="995" customFormat="1" ht="15.95" customHeight="1" thickTop="1" thickBot="1">
      <c r="B29" s="310">
        <v>12</v>
      </c>
      <c r="C29" s="1981" t="str">
        <f>IF('FORM 1040-2'!B18="","",('FORM 1040-2'!B18))</f>
        <v/>
      </c>
      <c r="D29" s="1982"/>
      <c r="E29" s="1001" t="str">
        <f>IF('FORM 1040-2'!C18="","",('FORM 1040-2'!C18))</f>
        <v/>
      </c>
      <c r="F29" s="1028" t="str">
        <f>IF('FORM 1040-10'!I19="","",('FORM 1040-10'!I19))</f>
        <v/>
      </c>
      <c r="G29" s="1001" t="str">
        <f>+'FORM 1040-2'!T18</f>
        <v/>
      </c>
      <c r="H29" s="73"/>
      <c r="I29" s="58"/>
      <c r="J29" s="58"/>
      <c r="K29" s="58"/>
      <c r="L29" s="58"/>
      <c r="M29" s="340" t="str">
        <f>IF('FORM 1040-10'!M19="","",('FORM 1040-10'!M19))</f>
        <v/>
      </c>
      <c r="O29" s="1558"/>
      <c r="P29" s="1558"/>
      <c r="Q29" s="1558"/>
      <c r="R29" s="1558"/>
      <c r="S29" s="1558"/>
      <c r="T29" s="1558"/>
      <c r="U29" s="99"/>
      <c r="W29" s="99"/>
    </row>
    <row r="30" spans="2:23" s="995" customFormat="1" ht="15.95" customHeight="1" thickTop="1" thickBot="1">
      <c r="B30" s="310">
        <v>13</v>
      </c>
      <c r="C30" s="1981" t="str">
        <f>IF('FORM 1040-2'!B19="","",('FORM 1040-2'!B19))</f>
        <v/>
      </c>
      <c r="D30" s="1982"/>
      <c r="E30" s="1001" t="str">
        <f>IF('FORM 1040-2'!C19="","",('FORM 1040-2'!C19))</f>
        <v/>
      </c>
      <c r="F30" s="1028" t="str">
        <f>IF('FORM 1040-10'!I20="","",('FORM 1040-10'!I20))</f>
        <v/>
      </c>
      <c r="G30" s="1001" t="str">
        <f>+'FORM 1040-2'!T19</f>
        <v/>
      </c>
      <c r="H30" s="73"/>
      <c r="I30" s="58"/>
      <c r="J30" s="58"/>
      <c r="K30" s="58"/>
      <c r="L30" s="58"/>
      <c r="M30" s="340" t="str">
        <f>IF('FORM 1040-10'!M20="","",('FORM 1040-10'!M20))</f>
        <v/>
      </c>
      <c r="O30" s="1558"/>
      <c r="P30" s="1558"/>
      <c r="Q30" s="1558"/>
      <c r="R30" s="1558"/>
      <c r="S30" s="1558"/>
      <c r="T30" s="1558"/>
      <c r="U30" s="99"/>
      <c r="W30" s="99"/>
    </row>
    <row r="31" spans="2:23" s="995" customFormat="1" ht="15.95" customHeight="1" thickTop="1" thickBot="1">
      <c r="B31" s="310">
        <v>14</v>
      </c>
      <c r="C31" s="1981" t="str">
        <f>IF('FORM 1040-2'!B20="","",('FORM 1040-2'!B20))</f>
        <v/>
      </c>
      <c r="D31" s="1982"/>
      <c r="E31" s="1001" t="str">
        <f>IF('FORM 1040-2'!C20="","",('FORM 1040-2'!C20))</f>
        <v/>
      </c>
      <c r="F31" s="1028" t="str">
        <f>IF('FORM 1040-10'!I21="","",('FORM 1040-10'!I21))</f>
        <v/>
      </c>
      <c r="G31" s="1001" t="str">
        <f>+'FORM 1040-2'!T20</f>
        <v/>
      </c>
      <c r="H31" s="73"/>
      <c r="I31" s="58"/>
      <c r="J31" s="58"/>
      <c r="K31" s="58"/>
      <c r="L31" s="58"/>
      <c r="M31" s="340" t="str">
        <f>IF('FORM 1040-10'!M21="","",('FORM 1040-10'!M21))</f>
        <v/>
      </c>
      <c r="O31" s="1558"/>
      <c r="P31" s="1558"/>
      <c r="Q31" s="1558"/>
      <c r="R31" s="1558"/>
      <c r="S31" s="1558"/>
      <c r="T31" s="1558"/>
      <c r="U31" s="99"/>
      <c r="W31" s="99"/>
    </row>
    <row r="32" spans="2:23" s="995" customFormat="1" ht="15.95" customHeight="1" thickTop="1" thickBot="1">
      <c r="B32" s="310">
        <v>15</v>
      </c>
      <c r="C32" s="1981" t="str">
        <f>IF('FORM 1040-2'!B21="","",('FORM 1040-2'!B21))</f>
        <v/>
      </c>
      <c r="D32" s="1982"/>
      <c r="E32" s="1001" t="str">
        <f>IF('FORM 1040-2'!C21="","",('FORM 1040-2'!C21))</f>
        <v/>
      </c>
      <c r="F32" s="1028" t="str">
        <f>IF('FORM 1040-10'!I22="","",('FORM 1040-10'!I22))</f>
        <v/>
      </c>
      <c r="G32" s="1001" t="str">
        <f>+'FORM 1040-2'!T21</f>
        <v/>
      </c>
      <c r="H32" s="73"/>
      <c r="I32" s="58"/>
      <c r="J32" s="58"/>
      <c r="K32" s="58"/>
      <c r="L32" s="58"/>
      <c r="M32" s="340" t="str">
        <f>IF('FORM 1040-10'!M22="","",('FORM 1040-10'!M22))</f>
        <v/>
      </c>
      <c r="O32" s="1558"/>
      <c r="P32" s="1558"/>
      <c r="Q32" s="1558"/>
      <c r="R32" s="1558"/>
      <c r="S32" s="1558"/>
      <c r="T32" s="1558"/>
      <c r="U32" s="99"/>
      <c r="W32" s="99"/>
    </row>
    <row r="33" spans="2:23" s="995" customFormat="1" ht="15.95" customHeight="1" thickTop="1" thickBot="1">
      <c r="B33" s="310">
        <v>16</v>
      </c>
      <c r="C33" s="1981" t="str">
        <f>IF('FORM 1040-2'!B22="","",('FORM 1040-2'!B22))</f>
        <v/>
      </c>
      <c r="D33" s="1982"/>
      <c r="E33" s="1001" t="str">
        <f>IF('FORM 1040-2'!C22="","",('FORM 1040-2'!C22))</f>
        <v/>
      </c>
      <c r="F33" s="1028" t="str">
        <f>IF('FORM 1040-10'!I23="","",('FORM 1040-10'!I23))</f>
        <v/>
      </c>
      <c r="G33" s="1001" t="str">
        <f>+'FORM 1040-2'!T22</f>
        <v/>
      </c>
      <c r="H33" s="73"/>
      <c r="I33" s="58"/>
      <c r="J33" s="58"/>
      <c r="K33" s="58"/>
      <c r="L33" s="58"/>
      <c r="M33" s="340" t="str">
        <f>IF('FORM 1040-10'!M23="","",('FORM 1040-10'!M23))</f>
        <v/>
      </c>
      <c r="O33" s="1558"/>
      <c r="P33" s="1558"/>
      <c r="Q33" s="1558"/>
      <c r="R33" s="1558"/>
      <c r="S33" s="1558"/>
      <c r="T33" s="1558"/>
      <c r="U33" s="99"/>
      <c r="W33" s="99"/>
    </row>
    <row r="34" spans="2:23" s="995" customFormat="1" ht="15.95" customHeight="1" thickTop="1" thickBot="1">
      <c r="B34" s="310">
        <v>17</v>
      </c>
      <c r="C34" s="1981" t="str">
        <f>IF('FORM 1040-2'!B23="","",('FORM 1040-2'!B23))</f>
        <v/>
      </c>
      <c r="D34" s="1982"/>
      <c r="E34" s="1001" t="str">
        <f>IF('FORM 1040-2'!C23="","",('FORM 1040-2'!C23))</f>
        <v/>
      </c>
      <c r="F34" s="1028" t="str">
        <f>IF('FORM 1040-10'!I24="","",('FORM 1040-10'!I24))</f>
        <v/>
      </c>
      <c r="G34" s="1001" t="str">
        <f>+'FORM 1040-2'!T23</f>
        <v/>
      </c>
      <c r="H34" s="73"/>
      <c r="I34" s="58"/>
      <c r="J34" s="58"/>
      <c r="K34" s="58"/>
      <c r="L34" s="58"/>
      <c r="M34" s="340" t="str">
        <f>IF('FORM 1040-10'!M24="","",('FORM 1040-10'!M24))</f>
        <v/>
      </c>
      <c r="O34" s="1558"/>
      <c r="P34" s="1558"/>
      <c r="Q34" s="1558"/>
      <c r="R34" s="1558"/>
      <c r="S34" s="1558"/>
      <c r="T34" s="1558"/>
      <c r="U34" s="99"/>
      <c r="W34" s="99"/>
    </row>
    <row r="35" spans="2:23" s="995" customFormat="1" ht="15.95" customHeight="1" thickTop="1" thickBot="1">
      <c r="B35" s="310">
        <v>18</v>
      </c>
      <c r="C35" s="1981" t="str">
        <f>IF('FORM 1040-2'!B24="","",('FORM 1040-2'!B24))</f>
        <v/>
      </c>
      <c r="D35" s="1982"/>
      <c r="E35" s="1001" t="str">
        <f>IF('FORM 1040-2'!C24="","",('FORM 1040-2'!C24))</f>
        <v/>
      </c>
      <c r="F35" s="1028" t="str">
        <f>IF('FORM 1040-10'!I25="","",('FORM 1040-10'!I25))</f>
        <v/>
      </c>
      <c r="G35" s="1001" t="str">
        <f>+'FORM 1040-2'!T24</f>
        <v/>
      </c>
      <c r="H35" s="73"/>
      <c r="I35" s="58"/>
      <c r="J35" s="58"/>
      <c r="K35" s="58"/>
      <c r="L35" s="58"/>
      <c r="M35" s="340" t="str">
        <f>IF('FORM 1040-10'!M25="","",('FORM 1040-10'!M25))</f>
        <v/>
      </c>
      <c r="O35" s="1558"/>
      <c r="P35" s="1558"/>
      <c r="Q35" s="1558"/>
      <c r="R35" s="1558"/>
      <c r="S35" s="1558"/>
      <c r="T35" s="1558"/>
      <c r="U35" s="99"/>
      <c r="W35" s="99"/>
    </row>
    <row r="36" spans="2:23" s="995" customFormat="1" ht="15.95" customHeight="1" thickTop="1" thickBot="1">
      <c r="B36" s="310">
        <v>19</v>
      </c>
      <c r="C36" s="1981" t="str">
        <f>IF('FORM 1040-2'!B25="","",('FORM 1040-2'!B25))</f>
        <v/>
      </c>
      <c r="D36" s="1982"/>
      <c r="E36" s="1001" t="str">
        <f>IF('FORM 1040-2'!C25="","",('FORM 1040-2'!C25))</f>
        <v/>
      </c>
      <c r="F36" s="1028" t="str">
        <f>IF('FORM 1040-10'!I26="","",('FORM 1040-10'!I26))</f>
        <v/>
      </c>
      <c r="G36" s="1001" t="str">
        <f>+'FORM 1040-2'!T25</f>
        <v/>
      </c>
      <c r="H36" s="73"/>
      <c r="I36" s="58"/>
      <c r="J36" s="58"/>
      <c r="K36" s="58"/>
      <c r="L36" s="58"/>
      <c r="M36" s="340" t="str">
        <f>IF('FORM 1040-10'!M26="","",('FORM 1040-10'!M26))</f>
        <v/>
      </c>
      <c r="O36" s="1558"/>
      <c r="P36" s="1558"/>
      <c r="Q36" s="1558"/>
      <c r="R36" s="1558"/>
      <c r="S36" s="1558"/>
      <c r="T36" s="1558"/>
      <c r="U36" s="99"/>
      <c r="W36" s="99"/>
    </row>
    <row r="37" spans="2:23" s="995" customFormat="1" ht="15.95" customHeight="1" thickTop="1" thickBot="1">
      <c r="B37" s="310">
        <v>20</v>
      </c>
      <c r="C37" s="1981" t="str">
        <f>IF('FORM 1040-2'!B26="","",('FORM 1040-2'!B26))</f>
        <v/>
      </c>
      <c r="D37" s="1982"/>
      <c r="E37" s="1001" t="str">
        <f>IF('FORM 1040-2'!C26="","",('FORM 1040-2'!C26))</f>
        <v/>
      </c>
      <c r="F37" s="1028" t="str">
        <f>IF('FORM 1040-10'!I27="","",('FORM 1040-10'!I27))</f>
        <v/>
      </c>
      <c r="G37" s="1001" t="str">
        <f>+'FORM 1040-2'!T26</f>
        <v/>
      </c>
      <c r="H37" s="73"/>
      <c r="I37" s="58"/>
      <c r="J37" s="58"/>
      <c r="K37" s="58"/>
      <c r="L37" s="58"/>
      <c r="M37" s="340" t="str">
        <f>IF('FORM 1040-10'!M27="","",('FORM 1040-10'!M27))</f>
        <v/>
      </c>
      <c r="O37" s="1558"/>
      <c r="P37" s="1558"/>
      <c r="Q37" s="1558"/>
      <c r="R37" s="1558"/>
      <c r="S37" s="1558"/>
      <c r="T37" s="1558"/>
      <c r="U37" s="99"/>
      <c r="W37" s="99"/>
    </row>
    <row r="38" spans="2:23" s="995" customFormat="1" ht="15.95" customHeight="1" thickTop="1" thickBot="1">
      <c r="B38" s="310">
        <v>21</v>
      </c>
      <c r="C38" s="1981" t="str">
        <f>IF('FORM 1040-2'!B27="","",('FORM 1040-2'!B27))</f>
        <v/>
      </c>
      <c r="D38" s="1982"/>
      <c r="E38" s="1001" t="str">
        <f>IF('FORM 1040-2'!C27="","",('FORM 1040-2'!C27))</f>
        <v/>
      </c>
      <c r="F38" s="1028" t="str">
        <f>IF('FORM 1040-10'!I28="","",('FORM 1040-10'!I28))</f>
        <v/>
      </c>
      <c r="G38" s="1001" t="str">
        <f>+'FORM 1040-2'!T27</f>
        <v/>
      </c>
      <c r="H38" s="73"/>
      <c r="I38" s="58"/>
      <c r="J38" s="58"/>
      <c r="K38" s="58"/>
      <c r="L38" s="58"/>
      <c r="M38" s="340" t="str">
        <f>IF('FORM 1040-10'!M28="","",('FORM 1040-10'!M28))</f>
        <v/>
      </c>
      <c r="O38" s="1558"/>
      <c r="P38" s="1558"/>
      <c r="Q38" s="1558"/>
      <c r="R38" s="1558"/>
      <c r="S38" s="1558"/>
      <c r="T38" s="1558"/>
      <c r="U38" s="99"/>
      <c r="W38" s="99"/>
    </row>
    <row r="39" spans="2:23" s="995" customFormat="1" ht="15.95" customHeight="1" thickTop="1" thickBot="1">
      <c r="B39" s="310">
        <v>22</v>
      </c>
      <c r="C39" s="1981" t="str">
        <f>IF('FORM 1040-2'!B28="","",('FORM 1040-2'!B28))</f>
        <v/>
      </c>
      <c r="D39" s="1982"/>
      <c r="E39" s="1001" t="str">
        <f>IF('FORM 1040-2'!C28="","",('FORM 1040-2'!C28))</f>
        <v/>
      </c>
      <c r="F39" s="1028" t="str">
        <f>IF('FORM 1040-10'!I29="","",('FORM 1040-10'!I29))</f>
        <v/>
      </c>
      <c r="G39" s="1001" t="str">
        <f>+'FORM 1040-2'!T28</f>
        <v/>
      </c>
      <c r="H39" s="73"/>
      <c r="I39" s="58"/>
      <c r="J39" s="58"/>
      <c r="K39" s="58"/>
      <c r="L39" s="58"/>
      <c r="M39" s="340" t="str">
        <f>IF('FORM 1040-10'!M29="","",('FORM 1040-10'!M29))</f>
        <v/>
      </c>
      <c r="O39" s="1558"/>
      <c r="P39" s="1558"/>
      <c r="Q39" s="1558"/>
      <c r="R39" s="1558"/>
      <c r="S39" s="1558"/>
      <c r="T39" s="1558"/>
      <c r="U39" s="99"/>
      <c r="W39" s="99"/>
    </row>
    <row r="40" spans="2:23" s="995" customFormat="1" ht="15.95" customHeight="1" thickTop="1" thickBot="1">
      <c r="B40" s="310">
        <v>23</v>
      </c>
      <c r="C40" s="1981" t="str">
        <f>IF('FORM 1040-2'!B29="","",('FORM 1040-2'!B29))</f>
        <v/>
      </c>
      <c r="D40" s="1982"/>
      <c r="E40" s="1001" t="str">
        <f>IF('FORM 1040-2'!C29="","",('FORM 1040-2'!C29))</f>
        <v/>
      </c>
      <c r="F40" s="1028" t="str">
        <f>IF('FORM 1040-10'!I30="","",('FORM 1040-10'!I30))</f>
        <v/>
      </c>
      <c r="G40" s="1001" t="str">
        <f>+'FORM 1040-2'!T29</f>
        <v/>
      </c>
      <c r="H40" s="73"/>
      <c r="I40" s="58"/>
      <c r="J40" s="58"/>
      <c r="K40" s="58"/>
      <c r="L40" s="58"/>
      <c r="M40" s="340" t="str">
        <f>IF('FORM 1040-10'!M30="","",('FORM 1040-10'!M30))</f>
        <v/>
      </c>
      <c r="O40" s="1558"/>
      <c r="P40" s="1558"/>
      <c r="Q40" s="1558"/>
      <c r="R40" s="1558"/>
      <c r="S40" s="1558"/>
      <c r="T40" s="1558"/>
      <c r="U40" s="99"/>
      <c r="W40" s="99"/>
    </row>
    <row r="41" spans="2:23" s="995" customFormat="1" ht="15.95" customHeight="1" thickTop="1" thickBot="1">
      <c r="B41" s="310">
        <v>24</v>
      </c>
      <c r="C41" s="1981" t="str">
        <f>IF('FORM 1040-2'!B30="","",('FORM 1040-2'!B30))</f>
        <v/>
      </c>
      <c r="D41" s="1982"/>
      <c r="E41" s="1001" t="str">
        <f>IF('FORM 1040-2'!C30="","",('FORM 1040-2'!C30))</f>
        <v/>
      </c>
      <c r="F41" s="1028" t="str">
        <f>IF('FORM 1040-10'!I31="","",('FORM 1040-10'!I31))</f>
        <v/>
      </c>
      <c r="G41" s="1001" t="str">
        <f>+'FORM 1040-2'!T30</f>
        <v/>
      </c>
      <c r="H41" s="73"/>
      <c r="I41" s="58"/>
      <c r="J41" s="58"/>
      <c r="K41" s="58"/>
      <c r="L41" s="58"/>
      <c r="M41" s="340" t="str">
        <f>IF('FORM 1040-10'!M31="","",('FORM 1040-10'!M31))</f>
        <v/>
      </c>
      <c r="O41" s="1558"/>
      <c r="P41" s="1558"/>
      <c r="Q41" s="1558"/>
      <c r="R41" s="1558"/>
      <c r="S41" s="1558"/>
      <c r="T41" s="1558"/>
      <c r="U41" s="99"/>
      <c r="W41" s="99"/>
    </row>
    <row r="42" spans="2:23" s="995" customFormat="1" ht="15.95" customHeight="1" thickTop="1" thickBot="1">
      <c r="B42" s="310">
        <v>25</v>
      </c>
      <c r="C42" s="1981" t="str">
        <f>IF('FORM 1040-2'!B31="","",('FORM 1040-2'!B31))</f>
        <v/>
      </c>
      <c r="D42" s="1982"/>
      <c r="E42" s="1001" t="str">
        <f>IF('FORM 1040-2'!C31="","",('FORM 1040-2'!C31))</f>
        <v/>
      </c>
      <c r="F42" s="1028" t="str">
        <f>IF('FORM 1040-10'!I32="","",('FORM 1040-10'!I32))</f>
        <v/>
      </c>
      <c r="G42" s="1001" t="str">
        <f>+'FORM 1040-2'!T31</f>
        <v/>
      </c>
      <c r="H42" s="73"/>
      <c r="I42" s="58"/>
      <c r="J42" s="58"/>
      <c r="K42" s="58"/>
      <c r="L42" s="58"/>
      <c r="M42" s="340" t="str">
        <f>IF('FORM 1040-10'!M32="","",('FORM 1040-10'!M32))</f>
        <v/>
      </c>
      <c r="O42" s="1558"/>
      <c r="P42" s="1558"/>
      <c r="Q42" s="1558"/>
      <c r="R42" s="1558"/>
      <c r="S42" s="1558"/>
      <c r="T42" s="1558"/>
      <c r="U42" s="6"/>
      <c r="W42" s="6"/>
    </row>
    <row r="43" spans="2:23" s="995" customFormat="1" ht="15.95" customHeight="1" thickTop="1" thickBot="1">
      <c r="B43" s="310">
        <v>26</v>
      </c>
      <c r="C43" s="1981" t="str">
        <f>IF('FORM 1040-2'!B32="","",('FORM 1040-2'!B32))</f>
        <v/>
      </c>
      <c r="D43" s="1982"/>
      <c r="E43" s="1001" t="str">
        <f>IF('FORM 1040-2'!C32="","",('FORM 1040-2'!C32))</f>
        <v/>
      </c>
      <c r="F43" s="1028" t="str">
        <f>IF('FORM 1040-10'!I33="","",('FORM 1040-10'!I33))</f>
        <v/>
      </c>
      <c r="G43" s="1001" t="str">
        <f>+'FORM 1040-2'!T32</f>
        <v/>
      </c>
      <c r="H43" s="73"/>
      <c r="I43" s="58"/>
      <c r="J43" s="58"/>
      <c r="K43" s="58"/>
      <c r="L43" s="58"/>
      <c r="M43" s="340" t="str">
        <f>IF('FORM 1040-10'!M33="","",('FORM 1040-10'!M33))</f>
        <v/>
      </c>
      <c r="O43" s="1558"/>
      <c r="P43" s="1558"/>
      <c r="Q43" s="1558"/>
      <c r="R43" s="1558"/>
      <c r="S43" s="1558"/>
      <c r="T43" s="1558"/>
      <c r="U43" s="6"/>
      <c r="W43" s="6"/>
    </row>
    <row r="44" spans="2:23" s="995" customFormat="1" ht="15.95" customHeight="1" thickTop="1" thickBot="1">
      <c r="B44" s="310">
        <v>27</v>
      </c>
      <c r="C44" s="1981" t="str">
        <f>IF('FORM 1040-2'!B33="","",('FORM 1040-2'!B33))</f>
        <v/>
      </c>
      <c r="D44" s="1982"/>
      <c r="E44" s="1001" t="str">
        <f>IF('FORM 1040-2'!C33="","",('FORM 1040-2'!C33))</f>
        <v/>
      </c>
      <c r="F44" s="1028" t="str">
        <f>IF('FORM 1040-10'!I34="","",('FORM 1040-10'!I34))</f>
        <v/>
      </c>
      <c r="G44" s="1001" t="str">
        <f>+'FORM 1040-2'!T33</f>
        <v/>
      </c>
      <c r="H44" s="73"/>
      <c r="I44" s="58"/>
      <c r="J44" s="58"/>
      <c r="K44" s="58"/>
      <c r="L44" s="58"/>
      <c r="M44" s="340" t="str">
        <f>IF('FORM 1040-10'!M34="","",('FORM 1040-10'!M34))</f>
        <v/>
      </c>
      <c r="O44" s="1558"/>
      <c r="P44" s="1558"/>
      <c r="Q44" s="1558"/>
      <c r="R44" s="1558"/>
      <c r="S44" s="1558"/>
      <c r="T44" s="1558"/>
      <c r="U44" s="6"/>
      <c r="W44" s="6"/>
    </row>
    <row r="45" spans="2:23" s="995" customFormat="1" ht="15.95" customHeight="1" thickTop="1" thickBot="1">
      <c r="B45" s="310">
        <v>28</v>
      </c>
      <c r="C45" s="1981" t="str">
        <f>IF('FORM 1040-2'!B34="","",('FORM 1040-2'!B34))</f>
        <v/>
      </c>
      <c r="D45" s="1982"/>
      <c r="E45" s="1001" t="str">
        <f>IF('FORM 1040-2'!C34="","",('FORM 1040-2'!C34))</f>
        <v/>
      </c>
      <c r="F45" s="1028" t="str">
        <f>IF('FORM 1040-10'!I35="","",('FORM 1040-10'!I35))</f>
        <v/>
      </c>
      <c r="G45" s="1001" t="str">
        <f>+'FORM 1040-2'!T34</f>
        <v/>
      </c>
      <c r="H45" s="73"/>
      <c r="I45" s="58"/>
      <c r="J45" s="58"/>
      <c r="K45" s="58"/>
      <c r="L45" s="58"/>
      <c r="M45" s="340" t="str">
        <f>IF('FORM 1040-10'!M35="","",('FORM 1040-10'!M35))</f>
        <v/>
      </c>
      <c r="O45" s="1558"/>
      <c r="P45" s="1558"/>
      <c r="Q45" s="1558"/>
      <c r="R45" s="1558"/>
      <c r="S45" s="1558"/>
      <c r="T45" s="1558"/>
      <c r="U45" s="6"/>
      <c r="W45" s="6"/>
    </row>
    <row r="46" spans="2:23" s="995" customFormat="1" ht="15.95" customHeight="1" thickTop="1" thickBot="1">
      <c r="B46" s="310">
        <v>29</v>
      </c>
      <c r="C46" s="1981" t="str">
        <f>IF('FORM 1040-2'!B35="","",('FORM 1040-2'!B35))</f>
        <v/>
      </c>
      <c r="D46" s="1982"/>
      <c r="E46" s="1001" t="str">
        <f>IF('FORM 1040-2'!C35="","",('FORM 1040-2'!C35))</f>
        <v/>
      </c>
      <c r="F46" s="1028" t="str">
        <f>IF('FORM 1040-10'!I36="","",('FORM 1040-10'!I36))</f>
        <v/>
      </c>
      <c r="G46" s="1001" t="str">
        <f>+'FORM 1040-2'!T35</f>
        <v/>
      </c>
      <c r="H46" s="73"/>
      <c r="I46" s="58"/>
      <c r="J46" s="58"/>
      <c r="K46" s="58"/>
      <c r="L46" s="58"/>
      <c r="M46" s="340" t="str">
        <f>IF('FORM 1040-10'!M36="","",('FORM 1040-10'!M36))</f>
        <v/>
      </c>
      <c r="O46" s="1558"/>
      <c r="P46" s="1558"/>
      <c r="Q46" s="1558"/>
      <c r="R46" s="1558"/>
      <c r="S46" s="1558"/>
      <c r="T46" s="1558"/>
      <c r="U46" s="6"/>
      <c r="W46" s="6"/>
    </row>
    <row r="47" spans="2:23" s="995" customFormat="1" ht="15.95" customHeight="1" thickTop="1" thickBot="1">
      <c r="B47" s="310">
        <v>30</v>
      </c>
      <c r="C47" s="1981" t="str">
        <f>IF('FORM 1040-2'!B36="","",('FORM 1040-2'!B36))</f>
        <v/>
      </c>
      <c r="D47" s="1982"/>
      <c r="E47" s="1001" t="str">
        <f>IF('FORM 1040-2'!C36="","",('FORM 1040-2'!C36))</f>
        <v/>
      </c>
      <c r="F47" s="1028" t="str">
        <f>IF('FORM 1040-10'!I37="","",('FORM 1040-10'!I37))</f>
        <v/>
      </c>
      <c r="G47" s="1001" t="str">
        <f>+'FORM 1040-2'!T36</f>
        <v/>
      </c>
      <c r="H47" s="73"/>
      <c r="I47" s="58"/>
      <c r="J47" s="58"/>
      <c r="K47" s="58"/>
      <c r="L47" s="58"/>
      <c r="M47" s="340" t="str">
        <f>IF('FORM 1040-10'!M37="","",('FORM 1040-10'!M37))</f>
        <v/>
      </c>
      <c r="O47" s="1558"/>
      <c r="P47" s="1558"/>
      <c r="Q47" s="1558"/>
      <c r="R47" s="1558"/>
      <c r="S47" s="1558"/>
      <c r="T47" s="1558"/>
      <c r="U47" s="6"/>
      <c r="W47" s="6"/>
    </row>
    <row r="48" spans="2:23" s="995" customFormat="1" ht="15.95" customHeight="1" thickTop="1" thickBot="1">
      <c r="B48" s="310">
        <v>31</v>
      </c>
      <c r="C48" s="1981" t="str">
        <f>IF('FORM 1040-2'!B37="","",('FORM 1040-2'!B37))</f>
        <v/>
      </c>
      <c r="D48" s="1982"/>
      <c r="E48" s="1001" t="str">
        <f>IF('FORM 1040-2'!C37="","",('FORM 1040-2'!C37))</f>
        <v/>
      </c>
      <c r="F48" s="1028" t="str">
        <f>IF('FORM 1040-10'!I38="","",('FORM 1040-10'!I38))</f>
        <v/>
      </c>
      <c r="G48" s="1001" t="str">
        <f>+'FORM 1040-2'!T37</f>
        <v/>
      </c>
      <c r="H48" s="73"/>
      <c r="I48" s="58"/>
      <c r="J48" s="58"/>
      <c r="K48" s="58"/>
      <c r="L48" s="58"/>
      <c r="M48" s="340" t="str">
        <f>IF('FORM 1040-10'!M38="","",('FORM 1040-10'!M38))</f>
        <v/>
      </c>
      <c r="O48" s="1558"/>
      <c r="P48" s="1558"/>
      <c r="Q48" s="1558"/>
      <c r="R48" s="1558"/>
      <c r="S48" s="1558"/>
      <c r="T48" s="1558"/>
      <c r="U48" s="6"/>
      <c r="W48" s="6"/>
    </row>
    <row r="49" spans="2:23" s="995" customFormat="1" ht="15.95" customHeight="1" thickTop="1" thickBot="1">
      <c r="B49" s="310">
        <v>32</v>
      </c>
      <c r="C49" s="1981" t="str">
        <f>IF('FORM 1040-2'!B38="","",('FORM 1040-2'!B38))</f>
        <v/>
      </c>
      <c r="D49" s="1982"/>
      <c r="E49" s="1001" t="str">
        <f>IF('FORM 1040-2'!C38="","",('FORM 1040-2'!C38))</f>
        <v/>
      </c>
      <c r="F49" s="1028" t="str">
        <f>IF('FORM 1040-10'!I39="","",('FORM 1040-10'!I39))</f>
        <v/>
      </c>
      <c r="G49" s="1001" t="str">
        <f>+'FORM 1040-2'!T38</f>
        <v/>
      </c>
      <c r="H49" s="73"/>
      <c r="I49" s="58"/>
      <c r="J49" s="58"/>
      <c r="K49" s="58"/>
      <c r="L49" s="58"/>
      <c r="M49" s="340" t="str">
        <f>IF('FORM 1040-10'!M39="","",('FORM 1040-10'!M39))</f>
        <v/>
      </c>
      <c r="O49" s="1558"/>
      <c r="P49" s="1558"/>
      <c r="Q49" s="1558"/>
      <c r="R49" s="1558"/>
      <c r="S49" s="1558"/>
      <c r="T49" s="1558"/>
      <c r="U49" s="6"/>
      <c r="W49" s="6"/>
    </row>
    <row r="50" spans="2:23" s="995" customFormat="1" ht="15.95" customHeight="1" thickTop="1" thickBot="1">
      <c r="B50" s="310">
        <v>33</v>
      </c>
      <c r="C50" s="1981" t="str">
        <f>IF('FORM 1040-2'!B39="","",('FORM 1040-2'!B39))</f>
        <v/>
      </c>
      <c r="D50" s="1982"/>
      <c r="E50" s="1001" t="str">
        <f>IF('FORM 1040-2'!C39="","",('FORM 1040-2'!C39))</f>
        <v/>
      </c>
      <c r="F50" s="1028" t="str">
        <f>IF('FORM 1040-10'!I40="","",('FORM 1040-10'!I40))</f>
        <v/>
      </c>
      <c r="G50" s="1001" t="str">
        <f>+'FORM 1040-2'!T39</f>
        <v/>
      </c>
      <c r="H50" s="73"/>
      <c r="I50" s="58"/>
      <c r="J50" s="58"/>
      <c r="K50" s="58"/>
      <c r="L50" s="58"/>
      <c r="M50" s="340" t="str">
        <f>IF('FORM 1040-10'!M40="","",('FORM 1040-10'!M40))</f>
        <v/>
      </c>
      <c r="O50" s="1558"/>
      <c r="P50" s="1558"/>
      <c r="Q50" s="1558"/>
      <c r="R50" s="1558"/>
      <c r="S50" s="1558"/>
      <c r="T50" s="1558"/>
      <c r="U50" s="99"/>
      <c r="V50" s="986"/>
      <c r="W50" s="99"/>
    </row>
    <row r="51" spans="2:23" s="995" customFormat="1" ht="15.95" customHeight="1" thickTop="1" thickBot="1">
      <c r="B51" s="310">
        <v>34</v>
      </c>
      <c r="C51" s="1981" t="str">
        <f>IF('FORM 1040-2'!B40="","",('FORM 1040-2'!B40))</f>
        <v/>
      </c>
      <c r="D51" s="1982"/>
      <c r="E51" s="1001" t="str">
        <f>IF('FORM 1040-2'!C40="","",('FORM 1040-2'!C40))</f>
        <v/>
      </c>
      <c r="F51" s="1028" t="str">
        <f>IF('FORM 1040-10'!I41="","",('FORM 1040-10'!I41))</f>
        <v/>
      </c>
      <c r="G51" s="1001" t="str">
        <f>+'FORM 1040-2'!T40</f>
        <v/>
      </c>
      <c r="H51" s="73"/>
      <c r="I51" s="58"/>
      <c r="J51" s="58"/>
      <c r="K51" s="58"/>
      <c r="L51" s="58"/>
      <c r="M51" s="340" t="str">
        <f>IF('FORM 1040-10'!M41="","",('FORM 1040-10'!M41))</f>
        <v/>
      </c>
      <c r="O51" s="1558"/>
      <c r="P51" s="1558"/>
      <c r="Q51" s="1558"/>
      <c r="R51" s="1558"/>
      <c r="S51" s="1558"/>
      <c r="T51" s="1558"/>
      <c r="U51" s="99"/>
      <c r="V51" s="986"/>
      <c r="W51" s="99"/>
    </row>
    <row r="52" spans="2:23" s="995" customFormat="1" ht="15.95" customHeight="1" thickTop="1" thickBot="1">
      <c r="B52" s="310">
        <v>35</v>
      </c>
      <c r="C52" s="1981" t="str">
        <f>IF('FORM 1040-2'!B41="","",('FORM 1040-2'!B41))</f>
        <v/>
      </c>
      <c r="D52" s="1982"/>
      <c r="E52" s="1001" t="str">
        <f>IF('FORM 1040-2'!C41="","",('FORM 1040-2'!C41))</f>
        <v/>
      </c>
      <c r="F52" s="1028" t="str">
        <f>IF('FORM 1040-10'!I42="","",('FORM 1040-10'!I42))</f>
        <v/>
      </c>
      <c r="G52" s="1001" t="str">
        <f>+'FORM 1040-2'!T41</f>
        <v/>
      </c>
      <c r="H52" s="73"/>
      <c r="I52" s="58"/>
      <c r="J52" s="58"/>
      <c r="K52" s="58"/>
      <c r="L52" s="58"/>
      <c r="M52" s="340" t="str">
        <f>IF('FORM 1040-10'!M42="","",('FORM 1040-10'!M42))</f>
        <v/>
      </c>
      <c r="O52" s="1558"/>
      <c r="P52" s="1558"/>
      <c r="Q52" s="1558"/>
      <c r="R52" s="1558"/>
      <c r="S52" s="1558"/>
      <c r="T52" s="1558"/>
      <c r="U52" s="99"/>
      <c r="V52" s="986"/>
      <c r="W52" s="99"/>
    </row>
    <row r="53" spans="2:23" s="995" customFormat="1" ht="21.95" customHeight="1" thickTop="1" thickBot="1">
      <c r="C53" s="1790" t="s">
        <v>665</v>
      </c>
      <c r="D53" s="1993"/>
      <c r="E53" s="1027">
        <f>SUM(E18:E52)</f>
        <v>0</v>
      </c>
      <c r="G53" s="984"/>
      <c r="O53" s="1558"/>
      <c r="P53" s="1558"/>
      <c r="Q53" s="1558"/>
      <c r="R53" s="1558"/>
      <c r="S53" s="1558"/>
      <c r="T53" s="1558"/>
      <c r="U53" s="99"/>
      <c r="V53" s="986"/>
      <c r="W53" s="99"/>
    </row>
    <row r="54" spans="2:23" ht="13.5" thickTop="1">
      <c r="U54" s="99"/>
      <c r="W54" s="99"/>
    </row>
    <row r="55" spans="2:23">
      <c r="U55" s="99"/>
      <c r="W55" s="99"/>
    </row>
    <row r="56" spans="2:23" ht="15.95" customHeight="1">
      <c r="U56" s="99"/>
      <c r="W56" s="99"/>
    </row>
    <row r="57" spans="2:23">
      <c r="U57" s="41"/>
      <c r="W57" s="41"/>
    </row>
    <row r="58" spans="2:23">
      <c r="U58" s="41"/>
      <c r="W58" s="41"/>
    </row>
    <row r="59" spans="2:23">
      <c r="U59" s="27"/>
      <c r="W59" s="27"/>
    </row>
  </sheetData>
  <sheetProtection algorithmName="SHA-512" hashValue="ta1O5r2Gvs4Vt2dkCWKlJ4PfMvg4GyWfOyaelR0rlxszExibsPv2a6q9XCy/LKE7sMTJaWvcOZSYOdhgYc2B9A==" saltValue="OspuOk2ADT4e0FBnlXwgPg==" spinCount="100000" sheet="1" objects="1" scenarios="1"/>
  <mergeCells count="57">
    <mergeCell ref="B5:K5"/>
    <mergeCell ref="B7:M7"/>
    <mergeCell ref="C15:D15"/>
    <mergeCell ref="C10:D10"/>
    <mergeCell ref="I14:K14"/>
    <mergeCell ref="B8:M8"/>
    <mergeCell ref="F10:H10"/>
    <mergeCell ref="C12:D12"/>
    <mergeCell ref="F12:H12"/>
    <mergeCell ref="I12:M12"/>
    <mergeCell ref="C20:D20"/>
    <mergeCell ref="C21:D21"/>
    <mergeCell ref="C18:D18"/>
    <mergeCell ref="C19:D19"/>
    <mergeCell ref="C16:D16"/>
    <mergeCell ref="C17:D17"/>
    <mergeCell ref="C26:D26"/>
    <mergeCell ref="C27:D27"/>
    <mergeCell ref="C24:D24"/>
    <mergeCell ref="C25:D25"/>
    <mergeCell ref="C22:D22"/>
    <mergeCell ref="C23:D23"/>
    <mergeCell ref="C32:D32"/>
    <mergeCell ref="C33:D33"/>
    <mergeCell ref="C30:D30"/>
    <mergeCell ref="C31:D31"/>
    <mergeCell ref="C28:D28"/>
    <mergeCell ref="C29:D29"/>
    <mergeCell ref="C39:D39"/>
    <mergeCell ref="C36:D36"/>
    <mergeCell ref="C37:D37"/>
    <mergeCell ref="C34:D34"/>
    <mergeCell ref="C35:D35"/>
    <mergeCell ref="A3:M3"/>
    <mergeCell ref="C52:D52"/>
    <mergeCell ref="C53:D53"/>
    <mergeCell ref="C50:D50"/>
    <mergeCell ref="C51:D51"/>
    <mergeCell ref="C48:D48"/>
    <mergeCell ref="C49:D49"/>
    <mergeCell ref="C46:D46"/>
    <mergeCell ref="C47:D47"/>
    <mergeCell ref="C44:D44"/>
    <mergeCell ref="C45:D45"/>
    <mergeCell ref="C42:D42"/>
    <mergeCell ref="C43:D43"/>
    <mergeCell ref="C40:D40"/>
    <mergeCell ref="C41:D41"/>
    <mergeCell ref="C38:D38"/>
    <mergeCell ref="O26:S26"/>
    <mergeCell ref="O19:S19"/>
    <mergeCell ref="O22:S22"/>
    <mergeCell ref="O20:S21"/>
    <mergeCell ref="O3:P6"/>
    <mergeCell ref="O18:S18"/>
    <mergeCell ref="O23:S23"/>
    <mergeCell ref="O24:S25"/>
  </mergeCells>
  <dataValidations count="2">
    <dataValidation type="whole" allowBlank="1" showInputMessage="1" showErrorMessage="1" error="Do not enter text, must be number of units." sqref="E10 E12" xr:uid="{00000000-0002-0000-1300-000001000000}">
      <formula1>0</formula1>
      <formula2>10000</formula2>
    </dataValidation>
    <dataValidation type="list" allowBlank="1" showInputMessage="1" showErrorMessage="1" sqref="H18:H52" xr:uid="{4A635B0E-E6F4-4392-8DCC-AAE185F72970}">
      <formula1>$V$1:$V$3</formula1>
    </dataValidation>
  </dataValidations>
  <hyperlinks>
    <hyperlink ref="O22:S22" r:id="rId1" display="Click here for HOME Income Limits" xr:uid="{8B6ABA39-B8E6-49B6-B57F-7D1DF457F6EA}"/>
    <hyperlink ref="O26:S26" r:id="rId2" display="Click here for HTF Income Limits" xr:uid="{AAC280BA-66A2-4D05-8266-BE73C6D0B8A6}"/>
  </hyperlinks>
  <pageMargins left="0.75" right="0.5" top="0.5" bottom="0.75" header="0" footer="0.5"/>
  <pageSetup scale="80" firstPageNumber="22" orientation="portrait" verticalDpi="300" r:id="rId3"/>
  <headerFooter alignWithMargins="0">
    <oddFooter>&amp;C&amp;A&amp;R&amp;D &amp;T</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8">
    <pageSetUpPr fitToPage="1"/>
  </sheetPr>
  <dimension ref="A1:N126"/>
  <sheetViews>
    <sheetView workbookViewId="0"/>
  </sheetViews>
  <sheetFormatPr defaultColWidth="10.7109375" defaultRowHeight="12.75"/>
  <cols>
    <col min="1" max="1" width="5.7109375" style="4" bestFit="1" customWidth="1"/>
    <col min="2" max="2" width="3.28515625" style="4" bestFit="1" customWidth="1"/>
    <col min="3" max="3" width="13.7109375" style="4" customWidth="1"/>
    <col min="4" max="9" width="15.7109375" style="4" customWidth="1"/>
    <col min="10" max="10" width="10.7109375" style="4" customWidth="1"/>
    <col min="11" max="11" width="5.7109375" style="6" customWidth="1"/>
    <col min="12" max="12" width="11.5703125" style="4" hidden="1" customWidth="1"/>
    <col min="13" max="13" width="18.42578125" style="4" hidden="1" customWidth="1"/>
    <col min="14" max="14" width="5.7109375" style="6" customWidth="1"/>
    <col min="15" max="21" width="10.7109375" style="4" customWidth="1"/>
    <col min="22" max="16384" width="10.7109375" style="4"/>
  </cols>
  <sheetData>
    <row r="1" spans="1:14" s="814" customFormat="1">
      <c r="A1" s="1302" t="str">
        <f>IF('FORM 1040-1'!D15="","",'FORM 1040-1'!D15)</f>
        <v/>
      </c>
      <c r="B1" s="1303"/>
      <c r="C1" s="1303"/>
      <c r="D1" s="1303"/>
      <c r="E1" s="1303"/>
      <c r="F1" s="1303"/>
      <c r="G1" s="1303"/>
      <c r="H1" s="1303"/>
      <c r="I1" s="1294" t="str">
        <f>IF('FORM 1040-1'!$E$12="","",'FORM 1040-1'!$E$12)</f>
        <v/>
      </c>
      <c r="K1" s="6"/>
      <c r="N1" s="6"/>
    </row>
    <row r="2" spans="1:14" s="814" customFormat="1">
      <c r="K2" s="6"/>
      <c r="N2" s="6"/>
    </row>
    <row r="3" spans="1:14" ht="15" customHeight="1">
      <c r="A3" s="12" t="s">
        <v>258</v>
      </c>
      <c r="B3" s="1694" t="s">
        <v>267</v>
      </c>
      <c r="C3" s="1694"/>
      <c r="D3" s="1694"/>
      <c r="E3" s="1694"/>
      <c r="F3" s="1694"/>
      <c r="G3" s="1694"/>
      <c r="H3" s="1694"/>
      <c r="I3" s="1694"/>
      <c r="J3" s="212"/>
      <c r="K3" s="99"/>
      <c r="L3" s="40"/>
      <c r="M3" s="202"/>
    </row>
    <row r="4" spans="1:14" ht="12.95" customHeight="1" thickBot="1">
      <c r="B4" s="202"/>
      <c r="C4" s="202"/>
      <c r="D4" s="202"/>
      <c r="E4" s="202"/>
      <c r="F4" s="202"/>
      <c r="G4" s="202"/>
      <c r="H4" s="202"/>
      <c r="I4" s="202"/>
      <c r="J4" s="212"/>
      <c r="K4" s="99"/>
      <c r="L4" s="40"/>
      <c r="M4" s="202"/>
    </row>
    <row r="5" spans="1:14" ht="15.95" customHeight="1" thickTop="1" thickBot="1">
      <c r="B5" s="202"/>
      <c r="C5" s="202"/>
      <c r="D5" s="1780" t="s">
        <v>223</v>
      </c>
      <c r="E5" s="1843"/>
      <c r="F5" s="1781"/>
      <c r="G5" s="1780" t="s">
        <v>224</v>
      </c>
      <c r="H5" s="1843"/>
      <c r="I5" s="1781"/>
      <c r="J5" s="209"/>
      <c r="K5" s="99"/>
      <c r="L5" s="40"/>
    </row>
    <row r="6" spans="1:14" ht="15.95" customHeight="1" thickTop="1">
      <c r="B6" s="202"/>
      <c r="C6" s="45"/>
      <c r="D6" s="45" t="s">
        <v>162</v>
      </c>
      <c r="E6" s="313" t="s">
        <v>209</v>
      </c>
      <c r="F6" s="314" t="s">
        <v>226</v>
      </c>
      <c r="G6" s="45" t="s">
        <v>162</v>
      </c>
      <c r="H6" s="313" t="s">
        <v>209</v>
      </c>
      <c r="I6" s="314" t="s">
        <v>226</v>
      </c>
      <c r="J6" s="209"/>
      <c r="K6" s="99"/>
      <c r="L6" s="40"/>
    </row>
    <row r="7" spans="1:14" ht="15.95" customHeight="1">
      <c r="B7" s="202"/>
      <c r="C7" s="194" t="s">
        <v>114</v>
      </c>
      <c r="D7" s="194" t="s">
        <v>214</v>
      </c>
      <c r="E7" s="315" t="s">
        <v>216</v>
      </c>
      <c r="F7" s="284" t="s">
        <v>227</v>
      </c>
      <c r="G7" s="194" t="s">
        <v>214</v>
      </c>
      <c r="H7" s="315" t="s">
        <v>216</v>
      </c>
      <c r="I7" s="284" t="s">
        <v>228</v>
      </c>
      <c r="J7" s="209"/>
      <c r="K7" s="99"/>
      <c r="L7" s="40"/>
    </row>
    <row r="8" spans="1:14" s="37" customFormat="1" ht="15.95" customHeight="1" thickBot="1">
      <c r="A8" s="4"/>
      <c r="B8" s="202"/>
      <c r="C8" s="50" t="s">
        <v>218</v>
      </c>
      <c r="D8" s="50" t="s">
        <v>115</v>
      </c>
      <c r="E8" s="316" t="s">
        <v>219</v>
      </c>
      <c r="F8" s="317" t="s">
        <v>229</v>
      </c>
      <c r="G8" s="50" t="s">
        <v>115</v>
      </c>
      <c r="H8" s="316" t="s">
        <v>219</v>
      </c>
      <c r="I8" s="317" t="s">
        <v>230</v>
      </c>
      <c r="J8" s="209"/>
      <c r="K8" s="99"/>
      <c r="L8" s="40"/>
      <c r="M8" s="4"/>
      <c r="N8" s="318"/>
    </row>
    <row r="9" spans="1:14" ht="18" customHeight="1" thickTop="1">
      <c r="B9" s="319">
        <v>1</v>
      </c>
      <c r="C9" s="320" t="str">
        <f>IF('FORM 1040-2'!B7="","",('FORM 1040-2'!B7))</f>
        <v/>
      </c>
      <c r="D9" s="321">
        <f>IF('FORM 1040-2'!I7&lt;&gt;"market",'FORM 1040-2'!C7,0)</f>
        <v>0</v>
      </c>
      <c r="E9" s="322">
        <f>IF('FORM 1040-2'!I7&lt;&gt;"market",'FORM 1040-2'!J7,0)</f>
        <v>0</v>
      </c>
      <c r="F9" s="323">
        <f>+D9*E9</f>
        <v>0</v>
      </c>
      <c r="G9" s="321">
        <f>+IF('FORM 1040-2'!I7="market",'FORM 1040-2'!C7,0)</f>
        <v>0</v>
      </c>
      <c r="H9" s="322">
        <f>IF('FORM 1040-2'!I7="market",'FORM 1040-2'!J7,0)</f>
        <v>0</v>
      </c>
      <c r="I9" s="323">
        <f>+G9*H9</f>
        <v>0</v>
      </c>
      <c r="J9" s="209"/>
      <c r="K9" s="99"/>
      <c r="L9" s="40"/>
    </row>
    <row r="10" spans="1:14" ht="18" customHeight="1">
      <c r="B10" s="319">
        <v>2</v>
      </c>
      <c r="C10" s="324" t="str">
        <f>IF('FORM 1040-2'!B8="","",('FORM 1040-2'!B8))</f>
        <v/>
      </c>
      <c r="D10" s="325">
        <f>IF('FORM 1040-2'!I8&lt;&gt;"market",'FORM 1040-2'!C8,0)</f>
        <v>0</v>
      </c>
      <c r="E10" s="326">
        <f>IF('FORM 1040-2'!I8&lt;&gt;"market",'FORM 1040-2'!J8,0)</f>
        <v>0</v>
      </c>
      <c r="F10" s="327">
        <f t="shared" ref="F10:F43" si="0">+D10*E10</f>
        <v>0</v>
      </c>
      <c r="G10" s="325">
        <f>+IF('FORM 1040-2'!I8="market",'FORM 1040-2'!C8,0)</f>
        <v>0</v>
      </c>
      <c r="H10" s="326">
        <f>IF('FORM 1040-2'!I8="market",'FORM 1040-2'!J8,0)</f>
        <v>0</v>
      </c>
      <c r="I10" s="327">
        <f t="shared" ref="I10:I43" si="1">+G10*H10</f>
        <v>0</v>
      </c>
      <c r="J10" s="209"/>
      <c r="K10" s="99"/>
      <c r="L10" s="40"/>
    </row>
    <row r="11" spans="1:14" ht="18" customHeight="1">
      <c r="B11" s="319">
        <v>3</v>
      </c>
      <c r="C11" s="324" t="str">
        <f>IF('FORM 1040-2'!B9="","",('FORM 1040-2'!B9))</f>
        <v/>
      </c>
      <c r="D11" s="325">
        <f>IF('FORM 1040-2'!I9&lt;&gt;"market",'FORM 1040-2'!C9,0)</f>
        <v>0</v>
      </c>
      <c r="E11" s="326">
        <f>IF('FORM 1040-2'!I9&lt;&gt;"market",'FORM 1040-2'!J9,0)</f>
        <v>0</v>
      </c>
      <c r="F11" s="327">
        <f t="shared" si="0"/>
        <v>0</v>
      </c>
      <c r="G11" s="325">
        <f>+IF('FORM 1040-2'!I9="market",'FORM 1040-2'!C9,0)</f>
        <v>0</v>
      </c>
      <c r="H11" s="326">
        <f>IF('FORM 1040-2'!I9="market",'FORM 1040-2'!J9,0)</f>
        <v>0</v>
      </c>
      <c r="I11" s="327">
        <f t="shared" si="1"/>
        <v>0</v>
      </c>
      <c r="J11" s="209"/>
      <c r="K11" s="99"/>
      <c r="L11" s="40"/>
    </row>
    <row r="12" spans="1:14" ht="18" customHeight="1">
      <c r="B12" s="319">
        <v>4</v>
      </c>
      <c r="C12" s="324" t="str">
        <f>IF('FORM 1040-2'!B10="","",('FORM 1040-2'!B10))</f>
        <v/>
      </c>
      <c r="D12" s="325">
        <f>IF('FORM 1040-2'!I10&lt;&gt;"market",'FORM 1040-2'!C10,0)</f>
        <v>0</v>
      </c>
      <c r="E12" s="326">
        <f>IF('FORM 1040-2'!I10&lt;&gt;"market",'FORM 1040-2'!J10,0)</f>
        <v>0</v>
      </c>
      <c r="F12" s="327">
        <f t="shared" si="0"/>
        <v>0</v>
      </c>
      <c r="G12" s="325">
        <f>+IF('FORM 1040-2'!I10="market",'FORM 1040-2'!C10,0)</f>
        <v>0</v>
      </c>
      <c r="H12" s="326">
        <f>IF('FORM 1040-2'!I10="market",'FORM 1040-2'!J10,0)</f>
        <v>0</v>
      </c>
      <c r="I12" s="327">
        <f t="shared" si="1"/>
        <v>0</v>
      </c>
      <c r="J12" s="209"/>
      <c r="K12" s="99"/>
      <c r="L12" s="40"/>
    </row>
    <row r="13" spans="1:14" ht="18" customHeight="1">
      <c r="B13" s="319">
        <v>5</v>
      </c>
      <c r="C13" s="324" t="str">
        <f>IF('FORM 1040-2'!B11="","",('FORM 1040-2'!B11))</f>
        <v/>
      </c>
      <c r="D13" s="325">
        <f>IF('FORM 1040-2'!I11&lt;&gt;"market",'FORM 1040-2'!C11,0)</f>
        <v>0</v>
      </c>
      <c r="E13" s="326">
        <f>IF('FORM 1040-2'!I11&lt;&gt;"market",'FORM 1040-2'!J11,0)</f>
        <v>0</v>
      </c>
      <c r="F13" s="327">
        <f t="shared" si="0"/>
        <v>0</v>
      </c>
      <c r="G13" s="325">
        <f>+IF('FORM 1040-2'!I11="market",'FORM 1040-2'!C11,0)</f>
        <v>0</v>
      </c>
      <c r="H13" s="326">
        <f>IF('FORM 1040-2'!I11="market",'FORM 1040-2'!J11,0)</f>
        <v>0</v>
      </c>
      <c r="I13" s="327">
        <f t="shared" si="1"/>
        <v>0</v>
      </c>
      <c r="J13" s="209"/>
      <c r="K13" s="99"/>
      <c r="L13" s="40"/>
    </row>
    <row r="14" spans="1:14" ht="18" customHeight="1">
      <c r="B14" s="319">
        <v>6</v>
      </c>
      <c r="C14" s="324" t="str">
        <f>IF('FORM 1040-2'!B12="","",('FORM 1040-2'!B12))</f>
        <v/>
      </c>
      <c r="D14" s="325">
        <f>IF('FORM 1040-2'!I12&lt;&gt;"market",'FORM 1040-2'!C12,0)</f>
        <v>0</v>
      </c>
      <c r="E14" s="326">
        <f>IF('FORM 1040-2'!I12&lt;&gt;"market",'FORM 1040-2'!J12,0)</f>
        <v>0</v>
      </c>
      <c r="F14" s="327">
        <f t="shared" si="0"/>
        <v>0</v>
      </c>
      <c r="G14" s="325">
        <f>+IF('FORM 1040-2'!I12="market",'FORM 1040-2'!C12,0)</f>
        <v>0</v>
      </c>
      <c r="H14" s="326">
        <f>IF('FORM 1040-2'!I12="market",'FORM 1040-2'!J12,0)</f>
        <v>0</v>
      </c>
      <c r="I14" s="327">
        <f t="shared" si="1"/>
        <v>0</v>
      </c>
      <c r="J14" s="209"/>
      <c r="K14" s="99"/>
      <c r="L14" s="40"/>
    </row>
    <row r="15" spans="1:14" ht="18" customHeight="1">
      <c r="B15" s="319">
        <v>7</v>
      </c>
      <c r="C15" s="324" t="str">
        <f>IF('FORM 1040-2'!B13="","",('FORM 1040-2'!B13))</f>
        <v/>
      </c>
      <c r="D15" s="325">
        <f>IF('FORM 1040-2'!I13&lt;&gt;"market",'FORM 1040-2'!C13,0)</f>
        <v>0</v>
      </c>
      <c r="E15" s="326">
        <f>IF('FORM 1040-2'!I13&lt;&gt;"market",'FORM 1040-2'!J13,0)</f>
        <v>0</v>
      </c>
      <c r="F15" s="327">
        <f t="shared" si="0"/>
        <v>0</v>
      </c>
      <c r="G15" s="325">
        <f>+IF('FORM 1040-2'!I13="market",'FORM 1040-2'!C13,0)</f>
        <v>0</v>
      </c>
      <c r="H15" s="326">
        <f>IF('FORM 1040-2'!I13="market",'FORM 1040-2'!J13,0)</f>
        <v>0</v>
      </c>
      <c r="I15" s="327">
        <f t="shared" si="1"/>
        <v>0</v>
      </c>
      <c r="J15" s="209"/>
      <c r="K15" s="99"/>
      <c r="L15" s="40"/>
    </row>
    <row r="16" spans="1:14" ht="18" customHeight="1">
      <c r="B16" s="319">
        <v>8</v>
      </c>
      <c r="C16" s="324" t="str">
        <f>IF('FORM 1040-2'!B14="","",('FORM 1040-2'!B14))</f>
        <v/>
      </c>
      <c r="D16" s="325">
        <f>IF('FORM 1040-2'!I14&lt;&gt;"market",'FORM 1040-2'!C14,0)</f>
        <v>0</v>
      </c>
      <c r="E16" s="326">
        <f>IF('FORM 1040-2'!I14&lt;&gt;"market",'FORM 1040-2'!J14,0)</f>
        <v>0</v>
      </c>
      <c r="F16" s="327">
        <f t="shared" si="0"/>
        <v>0</v>
      </c>
      <c r="G16" s="325">
        <f>+IF('FORM 1040-2'!I14="market",'FORM 1040-2'!C14,0)</f>
        <v>0</v>
      </c>
      <c r="H16" s="326">
        <f>IF('FORM 1040-2'!I14="market",'FORM 1040-2'!J14,0)</f>
        <v>0</v>
      </c>
      <c r="I16" s="327">
        <f t="shared" si="1"/>
        <v>0</v>
      </c>
      <c r="J16" s="209"/>
      <c r="K16" s="99"/>
      <c r="L16" s="40"/>
    </row>
    <row r="17" spans="2:12" ht="18" customHeight="1">
      <c r="B17" s="319">
        <v>9</v>
      </c>
      <c r="C17" s="324" t="str">
        <f>IF('FORM 1040-2'!B15="","",('FORM 1040-2'!B15))</f>
        <v/>
      </c>
      <c r="D17" s="325">
        <f>IF('FORM 1040-2'!I15&lt;&gt;"market",'FORM 1040-2'!C15,0)</f>
        <v>0</v>
      </c>
      <c r="E17" s="326">
        <f>IF('FORM 1040-2'!I15&lt;&gt;"market",'FORM 1040-2'!J15,0)</f>
        <v>0</v>
      </c>
      <c r="F17" s="327">
        <f t="shared" si="0"/>
        <v>0</v>
      </c>
      <c r="G17" s="325">
        <f>+IF('FORM 1040-2'!I15="market",'FORM 1040-2'!C15,0)</f>
        <v>0</v>
      </c>
      <c r="H17" s="326">
        <f>IF('FORM 1040-2'!I15="market",'FORM 1040-2'!J15,0)</f>
        <v>0</v>
      </c>
      <c r="I17" s="327">
        <f t="shared" si="1"/>
        <v>0</v>
      </c>
      <c r="J17" s="209"/>
      <c r="K17" s="99"/>
      <c r="L17" s="40"/>
    </row>
    <row r="18" spans="2:12" ht="18" customHeight="1">
      <c r="B18" s="319">
        <v>10</v>
      </c>
      <c r="C18" s="324" t="str">
        <f>IF('FORM 1040-2'!B16="","",('FORM 1040-2'!B16))</f>
        <v/>
      </c>
      <c r="D18" s="325">
        <f>IF('FORM 1040-2'!I16&lt;&gt;"market",'FORM 1040-2'!C16,0)</f>
        <v>0</v>
      </c>
      <c r="E18" s="326">
        <f>IF('FORM 1040-2'!I16&lt;&gt;"market",'FORM 1040-2'!J16,0)</f>
        <v>0</v>
      </c>
      <c r="F18" s="327">
        <f t="shared" si="0"/>
        <v>0</v>
      </c>
      <c r="G18" s="325">
        <f>+IF('FORM 1040-2'!I16="market",'FORM 1040-2'!C16,0)</f>
        <v>0</v>
      </c>
      <c r="H18" s="326">
        <f>IF('FORM 1040-2'!I16="market",'FORM 1040-2'!J16,0)</f>
        <v>0</v>
      </c>
      <c r="I18" s="327">
        <f t="shared" si="1"/>
        <v>0</v>
      </c>
      <c r="J18" s="209"/>
      <c r="K18" s="99"/>
      <c r="L18" s="40"/>
    </row>
    <row r="19" spans="2:12" ht="18" customHeight="1">
      <c r="B19" s="319">
        <v>11</v>
      </c>
      <c r="C19" s="324" t="str">
        <f>IF('FORM 1040-2'!B17="","",('FORM 1040-2'!B17))</f>
        <v/>
      </c>
      <c r="D19" s="325">
        <f>IF('FORM 1040-2'!I17&lt;&gt;"market",'FORM 1040-2'!C17,0)</f>
        <v>0</v>
      </c>
      <c r="E19" s="326">
        <f>IF('FORM 1040-2'!I17&lt;&gt;"market",'FORM 1040-2'!J17,0)</f>
        <v>0</v>
      </c>
      <c r="F19" s="327">
        <f t="shared" si="0"/>
        <v>0</v>
      </c>
      <c r="G19" s="325">
        <f>+IF('FORM 1040-2'!I17="market",'FORM 1040-2'!C17,0)</f>
        <v>0</v>
      </c>
      <c r="H19" s="326">
        <f>IF('FORM 1040-2'!I17="market",'FORM 1040-2'!J17,0)</f>
        <v>0</v>
      </c>
      <c r="I19" s="327">
        <f t="shared" si="1"/>
        <v>0</v>
      </c>
      <c r="J19" s="209"/>
      <c r="K19" s="99"/>
      <c r="L19" s="40"/>
    </row>
    <row r="20" spans="2:12" ht="18" customHeight="1">
      <c r="B20" s="319">
        <v>12</v>
      </c>
      <c r="C20" s="324" t="str">
        <f>IF('FORM 1040-2'!B18="","",('FORM 1040-2'!B18))</f>
        <v/>
      </c>
      <c r="D20" s="325">
        <f>IF('FORM 1040-2'!I18&lt;&gt;"market",'FORM 1040-2'!C18,0)</f>
        <v>0</v>
      </c>
      <c r="E20" s="326">
        <f>IF('FORM 1040-2'!I18&lt;&gt;"market",'FORM 1040-2'!J18,0)</f>
        <v>0</v>
      </c>
      <c r="F20" s="327">
        <f t="shared" si="0"/>
        <v>0</v>
      </c>
      <c r="G20" s="325">
        <f>+IF('FORM 1040-2'!I18="market",'FORM 1040-2'!C18,0)</f>
        <v>0</v>
      </c>
      <c r="H20" s="326">
        <f>IF('FORM 1040-2'!I18="market",'FORM 1040-2'!J18,0)</f>
        <v>0</v>
      </c>
      <c r="I20" s="327">
        <f t="shared" si="1"/>
        <v>0</v>
      </c>
      <c r="J20" s="209"/>
      <c r="K20" s="99"/>
      <c r="L20" s="40"/>
    </row>
    <row r="21" spans="2:12" ht="18" customHeight="1">
      <c r="B21" s="319">
        <v>13</v>
      </c>
      <c r="C21" s="324" t="str">
        <f>IF('FORM 1040-2'!B19="","",('FORM 1040-2'!B19))</f>
        <v/>
      </c>
      <c r="D21" s="325">
        <f>IF('FORM 1040-2'!I19&lt;&gt;"market",'FORM 1040-2'!C19,0)</f>
        <v>0</v>
      </c>
      <c r="E21" s="326">
        <f>IF('FORM 1040-2'!I19&lt;&gt;"market",'FORM 1040-2'!J19,0)</f>
        <v>0</v>
      </c>
      <c r="F21" s="327">
        <f t="shared" si="0"/>
        <v>0</v>
      </c>
      <c r="G21" s="325">
        <f>+IF('FORM 1040-2'!I19="market",'FORM 1040-2'!C19,0)</f>
        <v>0</v>
      </c>
      <c r="H21" s="326">
        <f>IF('FORM 1040-2'!I19="market",'FORM 1040-2'!J19,0)</f>
        <v>0</v>
      </c>
      <c r="I21" s="327">
        <f t="shared" si="1"/>
        <v>0</v>
      </c>
      <c r="J21" s="209"/>
      <c r="K21" s="99"/>
      <c r="L21" s="40"/>
    </row>
    <row r="22" spans="2:12" ht="18" customHeight="1">
      <c r="B22" s="319">
        <v>14</v>
      </c>
      <c r="C22" s="324" t="str">
        <f>IF('FORM 1040-2'!B20="","",('FORM 1040-2'!B20))</f>
        <v/>
      </c>
      <c r="D22" s="325">
        <f>IF('FORM 1040-2'!I20&lt;&gt;"market",'FORM 1040-2'!C20,0)</f>
        <v>0</v>
      </c>
      <c r="E22" s="326">
        <f>IF('FORM 1040-2'!I20&lt;&gt;"market",'FORM 1040-2'!J20,0)</f>
        <v>0</v>
      </c>
      <c r="F22" s="327">
        <f t="shared" si="0"/>
        <v>0</v>
      </c>
      <c r="G22" s="325">
        <f>+IF('FORM 1040-2'!I20="market",'FORM 1040-2'!C20,0)</f>
        <v>0</v>
      </c>
      <c r="H22" s="326">
        <f>IF('FORM 1040-2'!I20="market",'FORM 1040-2'!J20,0)</f>
        <v>0</v>
      </c>
      <c r="I22" s="327">
        <f t="shared" si="1"/>
        <v>0</v>
      </c>
      <c r="J22" s="209"/>
      <c r="K22" s="99"/>
      <c r="L22" s="40"/>
    </row>
    <row r="23" spans="2:12" ht="18" customHeight="1">
      <c r="B23" s="319">
        <v>15</v>
      </c>
      <c r="C23" s="324" t="str">
        <f>IF('FORM 1040-2'!B21="","",('FORM 1040-2'!B21))</f>
        <v/>
      </c>
      <c r="D23" s="325">
        <f>IF('FORM 1040-2'!I21&lt;&gt;"market",'FORM 1040-2'!C21,0)</f>
        <v>0</v>
      </c>
      <c r="E23" s="326">
        <f>IF('FORM 1040-2'!I21&lt;&gt;"market",'FORM 1040-2'!J21,0)</f>
        <v>0</v>
      </c>
      <c r="F23" s="327">
        <f t="shared" si="0"/>
        <v>0</v>
      </c>
      <c r="G23" s="325">
        <f>+IF('FORM 1040-2'!I21="market",'FORM 1040-2'!C21,0)</f>
        <v>0</v>
      </c>
      <c r="H23" s="326">
        <f>IF('FORM 1040-2'!I21="market",'FORM 1040-2'!J21,0)</f>
        <v>0</v>
      </c>
      <c r="I23" s="327">
        <f t="shared" si="1"/>
        <v>0</v>
      </c>
      <c r="J23" s="209"/>
      <c r="K23" s="99"/>
      <c r="L23" s="40"/>
    </row>
    <row r="24" spans="2:12" ht="18" customHeight="1">
      <c r="B24" s="319">
        <v>16</v>
      </c>
      <c r="C24" s="324" t="str">
        <f>IF('FORM 1040-2'!B22="","",('FORM 1040-2'!B22))</f>
        <v/>
      </c>
      <c r="D24" s="325">
        <f>IF('FORM 1040-2'!I22&lt;&gt;"market",'FORM 1040-2'!C22,0)</f>
        <v>0</v>
      </c>
      <c r="E24" s="326">
        <f>IF('FORM 1040-2'!I22&lt;&gt;"market",'FORM 1040-2'!J22,0)</f>
        <v>0</v>
      </c>
      <c r="F24" s="327">
        <f t="shared" si="0"/>
        <v>0</v>
      </c>
      <c r="G24" s="325">
        <f>+IF('FORM 1040-2'!I22="market",'FORM 1040-2'!C22,0)</f>
        <v>0</v>
      </c>
      <c r="H24" s="326">
        <f>IF('FORM 1040-2'!I22="market",'FORM 1040-2'!J22,0)</f>
        <v>0</v>
      </c>
      <c r="I24" s="327">
        <f t="shared" si="1"/>
        <v>0</v>
      </c>
      <c r="J24" s="209"/>
      <c r="K24" s="99"/>
      <c r="L24" s="40"/>
    </row>
    <row r="25" spans="2:12" ht="18" customHeight="1">
      <c r="B25" s="319">
        <v>17</v>
      </c>
      <c r="C25" s="324" t="str">
        <f>IF('FORM 1040-2'!B23="","",('FORM 1040-2'!B23))</f>
        <v/>
      </c>
      <c r="D25" s="325">
        <f>IF('FORM 1040-2'!I23&lt;&gt;"market",'FORM 1040-2'!C23,0)</f>
        <v>0</v>
      </c>
      <c r="E25" s="326">
        <f>IF('FORM 1040-2'!I23&lt;&gt;"market",'FORM 1040-2'!J23,0)</f>
        <v>0</v>
      </c>
      <c r="F25" s="327">
        <f t="shared" si="0"/>
        <v>0</v>
      </c>
      <c r="G25" s="325">
        <f>+IF('FORM 1040-2'!I23="market",'FORM 1040-2'!C23,0)</f>
        <v>0</v>
      </c>
      <c r="H25" s="326">
        <f>IF('FORM 1040-2'!I23="market",'FORM 1040-2'!J23,0)</f>
        <v>0</v>
      </c>
      <c r="I25" s="327">
        <f t="shared" si="1"/>
        <v>0</v>
      </c>
      <c r="J25" s="209"/>
      <c r="K25" s="99"/>
      <c r="L25" s="40"/>
    </row>
    <row r="26" spans="2:12" ht="18" customHeight="1">
      <c r="B26" s="319">
        <v>18</v>
      </c>
      <c r="C26" s="324" t="str">
        <f>IF('FORM 1040-2'!B24="","",('FORM 1040-2'!B24))</f>
        <v/>
      </c>
      <c r="D26" s="325">
        <f>IF('FORM 1040-2'!I24&lt;&gt;"market",'FORM 1040-2'!C24,0)</f>
        <v>0</v>
      </c>
      <c r="E26" s="326">
        <f>IF('FORM 1040-2'!I24&lt;&gt;"market",'FORM 1040-2'!J24,0)</f>
        <v>0</v>
      </c>
      <c r="F26" s="327">
        <f t="shared" si="0"/>
        <v>0</v>
      </c>
      <c r="G26" s="325">
        <f>+IF('FORM 1040-2'!I24="market",'FORM 1040-2'!C24,0)</f>
        <v>0</v>
      </c>
      <c r="H26" s="326">
        <f>IF('FORM 1040-2'!I24="market",'FORM 1040-2'!J24,0)</f>
        <v>0</v>
      </c>
      <c r="I26" s="327">
        <f t="shared" si="1"/>
        <v>0</v>
      </c>
      <c r="J26" s="209"/>
      <c r="K26" s="99"/>
      <c r="L26" s="40"/>
    </row>
    <row r="27" spans="2:12" ht="18" customHeight="1">
      <c r="B27" s="319">
        <v>19</v>
      </c>
      <c r="C27" s="324" t="str">
        <f>IF('FORM 1040-2'!B25="","",('FORM 1040-2'!B25))</f>
        <v/>
      </c>
      <c r="D27" s="325">
        <f>IF('FORM 1040-2'!I25&lt;&gt;"market",'FORM 1040-2'!C25,0)</f>
        <v>0</v>
      </c>
      <c r="E27" s="326">
        <f>IF('FORM 1040-2'!I25&lt;&gt;"market",'FORM 1040-2'!J25,0)</f>
        <v>0</v>
      </c>
      <c r="F27" s="327">
        <f t="shared" si="0"/>
        <v>0</v>
      </c>
      <c r="G27" s="325">
        <f>+IF('FORM 1040-2'!I25="market",'FORM 1040-2'!C25,0)</f>
        <v>0</v>
      </c>
      <c r="H27" s="326">
        <f>IF('FORM 1040-2'!I25="market",'FORM 1040-2'!J25,0)</f>
        <v>0</v>
      </c>
      <c r="I27" s="327">
        <f t="shared" si="1"/>
        <v>0</v>
      </c>
      <c r="J27" s="209"/>
      <c r="K27" s="99"/>
      <c r="L27" s="40"/>
    </row>
    <row r="28" spans="2:12" ht="18" customHeight="1">
      <c r="B28" s="319">
        <v>20</v>
      </c>
      <c r="C28" s="324" t="str">
        <f>IF('FORM 1040-2'!B26="","",('FORM 1040-2'!B26))</f>
        <v/>
      </c>
      <c r="D28" s="325">
        <f>IF('FORM 1040-2'!I26&lt;&gt;"market",'FORM 1040-2'!C26,0)</f>
        <v>0</v>
      </c>
      <c r="E28" s="326">
        <f>IF('FORM 1040-2'!I26&lt;&gt;"market",'FORM 1040-2'!J26,0)</f>
        <v>0</v>
      </c>
      <c r="F28" s="327">
        <f t="shared" si="0"/>
        <v>0</v>
      </c>
      <c r="G28" s="325">
        <f>+IF('FORM 1040-2'!I26="market",'FORM 1040-2'!C26,0)</f>
        <v>0</v>
      </c>
      <c r="H28" s="326">
        <f>IF('FORM 1040-2'!I26="market",'FORM 1040-2'!J26,0)</f>
        <v>0</v>
      </c>
      <c r="I28" s="327">
        <f t="shared" si="1"/>
        <v>0</v>
      </c>
      <c r="J28" s="209"/>
      <c r="K28" s="99"/>
      <c r="L28" s="40"/>
    </row>
    <row r="29" spans="2:12" ht="18" customHeight="1">
      <c r="B29" s="319">
        <v>21</v>
      </c>
      <c r="C29" s="324" t="str">
        <f>IF('FORM 1040-2'!B27="","",('FORM 1040-2'!B27))</f>
        <v/>
      </c>
      <c r="D29" s="325">
        <f>IF('FORM 1040-2'!I27&lt;&gt;"market",'FORM 1040-2'!C27,0)</f>
        <v>0</v>
      </c>
      <c r="E29" s="326">
        <f>IF('FORM 1040-2'!I27&lt;&gt;"market",'FORM 1040-2'!J27,0)</f>
        <v>0</v>
      </c>
      <c r="F29" s="327">
        <f t="shared" si="0"/>
        <v>0</v>
      </c>
      <c r="G29" s="325">
        <f>+IF('FORM 1040-2'!I27="market",'FORM 1040-2'!C27,0)</f>
        <v>0</v>
      </c>
      <c r="H29" s="326">
        <f>IF('FORM 1040-2'!I27="market",'FORM 1040-2'!J27,0)</f>
        <v>0</v>
      </c>
      <c r="I29" s="327">
        <f t="shared" si="1"/>
        <v>0</v>
      </c>
      <c r="J29" s="209"/>
      <c r="K29" s="99"/>
      <c r="L29" s="40"/>
    </row>
    <row r="30" spans="2:12" ht="18" customHeight="1">
      <c r="B30" s="319">
        <v>22</v>
      </c>
      <c r="C30" s="324" t="str">
        <f>IF('FORM 1040-2'!B28="","",('FORM 1040-2'!B28))</f>
        <v/>
      </c>
      <c r="D30" s="325">
        <f>IF('FORM 1040-2'!I28&lt;&gt;"market",'FORM 1040-2'!C28,0)</f>
        <v>0</v>
      </c>
      <c r="E30" s="326">
        <f>IF('FORM 1040-2'!I28&lt;&gt;"market",'FORM 1040-2'!J28,0)</f>
        <v>0</v>
      </c>
      <c r="F30" s="327">
        <f t="shared" si="0"/>
        <v>0</v>
      </c>
      <c r="G30" s="325">
        <f>+IF('FORM 1040-2'!I28="market",'FORM 1040-2'!C28,0)</f>
        <v>0</v>
      </c>
      <c r="H30" s="326">
        <f>IF('FORM 1040-2'!I28="market",'FORM 1040-2'!J28,0)</f>
        <v>0</v>
      </c>
      <c r="I30" s="327">
        <f t="shared" si="1"/>
        <v>0</v>
      </c>
      <c r="J30" s="209"/>
      <c r="K30" s="99"/>
      <c r="L30" s="40"/>
    </row>
    <row r="31" spans="2:12" ht="18" customHeight="1">
      <c r="B31" s="319">
        <v>23</v>
      </c>
      <c r="C31" s="324" t="str">
        <f>IF('FORM 1040-2'!B29="","",('FORM 1040-2'!B29))</f>
        <v/>
      </c>
      <c r="D31" s="325">
        <f>IF('FORM 1040-2'!I29&lt;&gt;"market",'FORM 1040-2'!C29,0)</f>
        <v>0</v>
      </c>
      <c r="E31" s="326">
        <f>IF('FORM 1040-2'!I29&lt;&gt;"market",'FORM 1040-2'!J29,0)</f>
        <v>0</v>
      </c>
      <c r="F31" s="327">
        <f t="shared" si="0"/>
        <v>0</v>
      </c>
      <c r="G31" s="325">
        <f>+IF('FORM 1040-2'!I29="market",'FORM 1040-2'!C29,0)</f>
        <v>0</v>
      </c>
      <c r="H31" s="326">
        <f>IF('FORM 1040-2'!I29="market",'FORM 1040-2'!J29,0)</f>
        <v>0</v>
      </c>
      <c r="I31" s="327">
        <f t="shared" si="1"/>
        <v>0</v>
      </c>
      <c r="J31" s="209"/>
      <c r="K31" s="99"/>
      <c r="L31" s="40"/>
    </row>
    <row r="32" spans="2:12" ht="18" customHeight="1">
      <c r="B32" s="319">
        <v>24</v>
      </c>
      <c r="C32" s="324" t="str">
        <f>IF('FORM 1040-2'!B30="","",('FORM 1040-2'!B30))</f>
        <v/>
      </c>
      <c r="D32" s="325">
        <f>IF('FORM 1040-2'!I30&lt;&gt;"market",'FORM 1040-2'!C30,0)</f>
        <v>0</v>
      </c>
      <c r="E32" s="326">
        <f>IF('FORM 1040-2'!I30&lt;&gt;"market",'FORM 1040-2'!J30,0)</f>
        <v>0</v>
      </c>
      <c r="F32" s="327">
        <f t="shared" si="0"/>
        <v>0</v>
      </c>
      <c r="G32" s="325">
        <f>+IF('FORM 1040-2'!I30="market",'FORM 1040-2'!C30,0)</f>
        <v>0</v>
      </c>
      <c r="H32" s="326">
        <f>IF('FORM 1040-2'!I30="market",'FORM 1040-2'!J30,0)</f>
        <v>0</v>
      </c>
      <c r="I32" s="327">
        <f t="shared" si="1"/>
        <v>0</v>
      </c>
      <c r="J32" s="209"/>
      <c r="K32" s="99"/>
      <c r="L32" s="40"/>
    </row>
    <row r="33" spans="1:13" ht="18" customHeight="1">
      <c r="B33" s="319">
        <v>25</v>
      </c>
      <c r="C33" s="324" t="str">
        <f>IF('FORM 1040-2'!B31="","",('FORM 1040-2'!B31))</f>
        <v/>
      </c>
      <c r="D33" s="325">
        <f>IF('FORM 1040-2'!I31&lt;&gt;"market",'FORM 1040-2'!C31,0)</f>
        <v>0</v>
      </c>
      <c r="E33" s="326">
        <f>IF('FORM 1040-2'!I31&lt;&gt;"market",'FORM 1040-2'!J31,0)</f>
        <v>0</v>
      </c>
      <c r="F33" s="327">
        <f t="shared" si="0"/>
        <v>0</v>
      </c>
      <c r="G33" s="325">
        <f>+IF('FORM 1040-2'!I31="market",'FORM 1040-2'!C31,0)</f>
        <v>0</v>
      </c>
      <c r="H33" s="326">
        <f>IF('FORM 1040-2'!I31="market",'FORM 1040-2'!J31,0)</f>
        <v>0</v>
      </c>
      <c r="I33" s="327">
        <f t="shared" si="1"/>
        <v>0</v>
      </c>
      <c r="J33" s="209"/>
      <c r="K33" s="99"/>
      <c r="L33" s="40"/>
    </row>
    <row r="34" spans="1:13" ht="18" customHeight="1">
      <c r="B34" s="319">
        <v>26</v>
      </c>
      <c r="C34" s="324" t="str">
        <f>IF('FORM 1040-2'!B32="","",('FORM 1040-2'!B32))</f>
        <v/>
      </c>
      <c r="D34" s="325">
        <f>IF('FORM 1040-2'!I32&lt;&gt;"market",'FORM 1040-2'!C32,0)</f>
        <v>0</v>
      </c>
      <c r="E34" s="326">
        <f>IF('FORM 1040-2'!I32&lt;&gt;"market",'FORM 1040-2'!J32,0)</f>
        <v>0</v>
      </c>
      <c r="F34" s="327">
        <f t="shared" si="0"/>
        <v>0</v>
      </c>
      <c r="G34" s="325">
        <f>+IF('FORM 1040-2'!I32="market",'FORM 1040-2'!C32,0)</f>
        <v>0</v>
      </c>
      <c r="H34" s="326">
        <f>IF('FORM 1040-2'!I32="market",'FORM 1040-2'!J32,0)</f>
        <v>0</v>
      </c>
      <c r="I34" s="327">
        <f t="shared" si="1"/>
        <v>0</v>
      </c>
      <c r="J34" s="209"/>
      <c r="K34" s="99"/>
      <c r="L34" s="40"/>
    </row>
    <row r="35" spans="1:13" ht="18" customHeight="1">
      <c r="B35" s="319">
        <v>27</v>
      </c>
      <c r="C35" s="324" t="str">
        <f>IF('FORM 1040-2'!B33="","",('FORM 1040-2'!B33))</f>
        <v/>
      </c>
      <c r="D35" s="325">
        <f>IF('FORM 1040-2'!I33&lt;&gt;"market",'FORM 1040-2'!C33,0)</f>
        <v>0</v>
      </c>
      <c r="E35" s="326">
        <f>IF('FORM 1040-2'!I33&lt;&gt;"market",'FORM 1040-2'!J33,0)</f>
        <v>0</v>
      </c>
      <c r="F35" s="327">
        <f t="shared" si="0"/>
        <v>0</v>
      </c>
      <c r="G35" s="325">
        <f>+IF('FORM 1040-2'!I33="market",'FORM 1040-2'!C33,0)</f>
        <v>0</v>
      </c>
      <c r="H35" s="326">
        <f>IF('FORM 1040-2'!I33="market",'FORM 1040-2'!J33,0)</f>
        <v>0</v>
      </c>
      <c r="I35" s="327">
        <f t="shared" si="1"/>
        <v>0</v>
      </c>
      <c r="J35" s="209"/>
      <c r="K35" s="99"/>
      <c r="L35" s="40"/>
    </row>
    <row r="36" spans="1:13" ht="18" customHeight="1">
      <c r="B36" s="319">
        <v>28</v>
      </c>
      <c r="C36" s="324" t="str">
        <f>IF('FORM 1040-2'!B34="","",('FORM 1040-2'!B34))</f>
        <v/>
      </c>
      <c r="D36" s="325">
        <f>IF('FORM 1040-2'!I34&lt;&gt;"market",'FORM 1040-2'!C34,0)</f>
        <v>0</v>
      </c>
      <c r="E36" s="326">
        <f>IF('FORM 1040-2'!I34&lt;&gt;"market",'FORM 1040-2'!J34,0)</f>
        <v>0</v>
      </c>
      <c r="F36" s="327">
        <f t="shared" si="0"/>
        <v>0</v>
      </c>
      <c r="G36" s="325">
        <f>+IF('FORM 1040-2'!I34="market",'FORM 1040-2'!C34,0)</f>
        <v>0</v>
      </c>
      <c r="H36" s="326">
        <f>IF('FORM 1040-2'!I34="market",'FORM 1040-2'!J34,0)</f>
        <v>0</v>
      </c>
      <c r="I36" s="327">
        <f t="shared" si="1"/>
        <v>0</v>
      </c>
      <c r="L36" s="40"/>
    </row>
    <row r="37" spans="1:13" ht="18" customHeight="1">
      <c r="B37" s="319">
        <v>29</v>
      </c>
      <c r="C37" s="324" t="str">
        <f>IF('FORM 1040-2'!B35="","",('FORM 1040-2'!B35))</f>
        <v/>
      </c>
      <c r="D37" s="325">
        <f>IF('FORM 1040-2'!I35&lt;&gt;"market",'FORM 1040-2'!C35,0)</f>
        <v>0</v>
      </c>
      <c r="E37" s="326">
        <f>IF('FORM 1040-2'!I35&lt;&gt;"market",'FORM 1040-2'!J35,0)</f>
        <v>0</v>
      </c>
      <c r="F37" s="327">
        <f t="shared" si="0"/>
        <v>0</v>
      </c>
      <c r="G37" s="325">
        <f>+IF('FORM 1040-2'!I35="market",'FORM 1040-2'!C35,0)</f>
        <v>0</v>
      </c>
      <c r="H37" s="326">
        <f>IF('FORM 1040-2'!I35="market",'FORM 1040-2'!J35,0)</f>
        <v>0</v>
      </c>
      <c r="I37" s="327">
        <f t="shared" si="1"/>
        <v>0</v>
      </c>
      <c r="L37" s="40"/>
    </row>
    <row r="38" spans="1:13" ht="18" customHeight="1">
      <c r="B38" s="319">
        <v>30</v>
      </c>
      <c r="C38" s="324" t="str">
        <f>IF('FORM 1040-2'!B36="","",('FORM 1040-2'!B36))</f>
        <v/>
      </c>
      <c r="D38" s="325">
        <f>IF('FORM 1040-2'!I36&lt;&gt;"market",'FORM 1040-2'!C36,0)</f>
        <v>0</v>
      </c>
      <c r="E38" s="326">
        <f>IF('FORM 1040-2'!I36&lt;&gt;"market",'FORM 1040-2'!J36,0)</f>
        <v>0</v>
      </c>
      <c r="F38" s="327">
        <f t="shared" si="0"/>
        <v>0</v>
      </c>
      <c r="G38" s="325">
        <f>+IF('FORM 1040-2'!I36="market",'FORM 1040-2'!C36,0)</f>
        <v>0</v>
      </c>
      <c r="H38" s="326">
        <f>IF('FORM 1040-2'!I36="market",'FORM 1040-2'!J36,0)</f>
        <v>0</v>
      </c>
      <c r="I38" s="327">
        <f t="shared" si="1"/>
        <v>0</v>
      </c>
      <c r="L38" s="40"/>
    </row>
    <row r="39" spans="1:13" ht="18" customHeight="1">
      <c r="B39" s="319">
        <v>31</v>
      </c>
      <c r="C39" s="324" t="str">
        <f>IF('FORM 1040-2'!B37="","",('FORM 1040-2'!B37))</f>
        <v/>
      </c>
      <c r="D39" s="325">
        <f>IF('FORM 1040-2'!I37&lt;&gt;"market",'FORM 1040-2'!C37,0)</f>
        <v>0</v>
      </c>
      <c r="E39" s="326">
        <f>IF('FORM 1040-2'!I37&lt;&gt;"market",'FORM 1040-2'!J37,0)</f>
        <v>0</v>
      </c>
      <c r="F39" s="327">
        <f t="shared" si="0"/>
        <v>0</v>
      </c>
      <c r="G39" s="325">
        <f>+IF('FORM 1040-2'!I37="market",'FORM 1040-2'!C37,0)</f>
        <v>0</v>
      </c>
      <c r="H39" s="326">
        <f>IF('FORM 1040-2'!I37="market",'FORM 1040-2'!J37,0)</f>
        <v>0</v>
      </c>
      <c r="I39" s="327">
        <f t="shared" si="1"/>
        <v>0</v>
      </c>
      <c r="L39" s="40"/>
    </row>
    <row r="40" spans="1:13" ht="18" customHeight="1">
      <c r="B40" s="319">
        <v>32</v>
      </c>
      <c r="C40" s="324" t="str">
        <f>IF('FORM 1040-2'!B38="","",('FORM 1040-2'!B38))</f>
        <v/>
      </c>
      <c r="D40" s="325">
        <f>IF('FORM 1040-2'!I38&lt;&gt;"market",'FORM 1040-2'!C38,0)</f>
        <v>0</v>
      </c>
      <c r="E40" s="326">
        <f>IF('FORM 1040-2'!I38&lt;&gt;"market",'FORM 1040-2'!J38,0)</f>
        <v>0</v>
      </c>
      <c r="F40" s="327">
        <f t="shared" si="0"/>
        <v>0</v>
      </c>
      <c r="G40" s="325">
        <f>+IF('FORM 1040-2'!I38="market",'FORM 1040-2'!C38,0)</f>
        <v>0</v>
      </c>
      <c r="H40" s="326">
        <f>IF('FORM 1040-2'!I38="market",'FORM 1040-2'!J38,0)</f>
        <v>0</v>
      </c>
      <c r="I40" s="327">
        <f t="shared" si="1"/>
        <v>0</v>
      </c>
      <c r="L40" s="40"/>
    </row>
    <row r="41" spans="1:13" ht="18" customHeight="1">
      <c r="B41" s="319">
        <v>33</v>
      </c>
      <c r="C41" s="324" t="str">
        <f>IF('FORM 1040-2'!B39="","",('FORM 1040-2'!B39))</f>
        <v/>
      </c>
      <c r="D41" s="325">
        <f>IF('FORM 1040-2'!I39&lt;&gt;"market",'FORM 1040-2'!C39,0)</f>
        <v>0</v>
      </c>
      <c r="E41" s="326">
        <f>IF('FORM 1040-2'!I39&lt;&gt;"market",'FORM 1040-2'!J39,0)</f>
        <v>0</v>
      </c>
      <c r="F41" s="327">
        <f t="shared" si="0"/>
        <v>0</v>
      </c>
      <c r="G41" s="325">
        <f>+IF('FORM 1040-2'!I39="market",'FORM 1040-2'!C39,0)</f>
        <v>0</v>
      </c>
      <c r="H41" s="326">
        <f>IF('FORM 1040-2'!I39="market",'FORM 1040-2'!J39,0)</f>
        <v>0</v>
      </c>
      <c r="I41" s="327">
        <f t="shared" si="1"/>
        <v>0</v>
      </c>
      <c r="L41" s="40"/>
    </row>
    <row r="42" spans="1:13" ht="18" customHeight="1">
      <c r="B42" s="319">
        <v>34</v>
      </c>
      <c r="C42" s="324" t="str">
        <f>IF('FORM 1040-2'!B40="","",('FORM 1040-2'!B40))</f>
        <v/>
      </c>
      <c r="D42" s="325">
        <f>IF('FORM 1040-2'!I40&lt;&gt;"market",'FORM 1040-2'!C40,0)</f>
        <v>0</v>
      </c>
      <c r="E42" s="326">
        <f>IF('FORM 1040-2'!I40&lt;&gt;"market",'FORM 1040-2'!J40,0)</f>
        <v>0</v>
      </c>
      <c r="F42" s="327">
        <f t="shared" si="0"/>
        <v>0</v>
      </c>
      <c r="G42" s="325">
        <f>+IF('FORM 1040-2'!I40="market",'FORM 1040-2'!C40,0)</f>
        <v>0</v>
      </c>
      <c r="H42" s="326">
        <f>IF('FORM 1040-2'!I40="market",'FORM 1040-2'!J40,0)</f>
        <v>0</v>
      </c>
      <c r="I42" s="327">
        <f t="shared" si="1"/>
        <v>0</v>
      </c>
      <c r="L42" s="40"/>
    </row>
    <row r="43" spans="1:13" ht="18" customHeight="1">
      <c r="B43" s="319">
        <v>35</v>
      </c>
      <c r="C43" s="324" t="str">
        <f>IF('FORM 1040-2'!B41="","",('FORM 1040-2'!B41))</f>
        <v/>
      </c>
      <c r="D43" s="325">
        <f>IF('FORM 1040-2'!I41&lt;&gt;"market",'FORM 1040-2'!C41,0)</f>
        <v>0</v>
      </c>
      <c r="E43" s="326">
        <f>IF('FORM 1040-2'!I41&lt;&gt;"market",'FORM 1040-2'!J41,0)</f>
        <v>0</v>
      </c>
      <c r="F43" s="327">
        <f t="shared" si="0"/>
        <v>0</v>
      </c>
      <c r="G43" s="325">
        <f>+IF('FORM 1040-2'!I41="market",'FORM 1040-2'!C41,0)</f>
        <v>0</v>
      </c>
      <c r="H43" s="326">
        <f>IF('FORM 1040-2'!I41="market",'FORM 1040-2'!J41,0)</f>
        <v>0</v>
      </c>
      <c r="I43" s="327">
        <f t="shared" si="1"/>
        <v>0</v>
      </c>
      <c r="L43" s="40"/>
    </row>
    <row r="44" spans="1:13" ht="18" customHeight="1" thickBot="1">
      <c r="B44" s="202"/>
      <c r="C44" s="328" t="s">
        <v>121</v>
      </c>
      <c r="D44" s="329">
        <f>SUM(D9:D43)</f>
        <v>0</v>
      </c>
      <c r="E44" s="330"/>
      <c r="F44" s="331">
        <f>SUM(F9:F43)</f>
        <v>0</v>
      </c>
      <c r="G44" s="329">
        <f>SUM(G9:G43)</f>
        <v>0</v>
      </c>
      <c r="H44" s="330"/>
      <c r="I44" s="331">
        <f>SUM(I9:I43)</f>
        <v>0</v>
      </c>
      <c r="J44" s="212"/>
      <c r="K44" s="99"/>
      <c r="L44" s="40"/>
    </row>
    <row r="45" spans="1:13" ht="6" customHeight="1" thickTop="1" thickBot="1">
      <c r="B45" s="202"/>
      <c r="C45" s="202"/>
      <c r="D45" s="202"/>
      <c r="E45" s="202"/>
      <c r="F45" s="202"/>
      <c r="G45" s="202"/>
      <c r="H45" s="202"/>
      <c r="I45" s="202"/>
      <c r="J45" s="212"/>
      <c r="K45" s="99"/>
      <c r="L45" s="40"/>
    </row>
    <row r="46" spans="1:13" ht="15.95" customHeight="1" thickTop="1" thickBot="1">
      <c r="A46" s="12"/>
      <c r="B46" s="202"/>
      <c r="C46" s="1780" t="s">
        <v>2329</v>
      </c>
      <c r="D46" s="1843"/>
      <c r="E46" s="1843"/>
      <c r="F46" s="1781"/>
      <c r="G46" s="28"/>
      <c r="H46" s="28"/>
      <c r="I46" s="271"/>
      <c r="J46" s="212"/>
      <c r="K46" s="99"/>
      <c r="L46" s="40"/>
    </row>
    <row r="47" spans="1:13" ht="42" customHeight="1" thickTop="1" thickBot="1">
      <c r="B47" s="202"/>
      <c r="C47" s="1780" t="s">
        <v>2378</v>
      </c>
      <c r="D47" s="1843"/>
      <c r="E47" s="1781"/>
      <c r="F47" s="1082" t="s">
        <v>2330</v>
      </c>
      <c r="G47" s="332"/>
      <c r="H47" s="305"/>
      <c r="I47" s="271"/>
      <c r="J47" s="333"/>
      <c r="K47" s="99"/>
      <c r="L47" s="40"/>
    </row>
    <row r="48" spans="1:13" ht="26.1" customHeight="1" thickTop="1" thickBot="1">
      <c r="B48" s="202"/>
      <c r="C48" s="1999"/>
      <c r="D48" s="2000"/>
      <c r="E48" s="2001"/>
      <c r="F48" s="334"/>
      <c r="G48" s="335"/>
      <c r="H48" s="336"/>
      <c r="I48" s="271"/>
      <c r="J48" s="333"/>
      <c r="K48" s="99"/>
      <c r="L48" s="20" t="str">
        <f>IF(C48="","",(C48))</f>
        <v/>
      </c>
      <c r="M48" s="4" t="s">
        <v>951</v>
      </c>
    </row>
    <row r="49" spans="10:12" ht="15" customHeight="1" thickTop="1">
      <c r="J49" s="40"/>
      <c r="K49" s="41"/>
      <c r="L49" s="40"/>
    </row>
    <row r="50" spans="10:12" ht="15" customHeight="1">
      <c r="J50" s="40"/>
      <c r="K50" s="41"/>
      <c r="L50" s="40"/>
    </row>
    <row r="51" spans="10:12" ht="15" customHeight="1">
      <c r="J51" s="40"/>
      <c r="K51" s="27"/>
      <c r="L51" s="40"/>
    </row>
    <row r="52" spans="10:12" ht="15" customHeight="1"/>
    <row r="53" spans="10:12" ht="15" customHeight="1"/>
    <row r="54" spans="10:12" ht="15" customHeight="1"/>
    <row r="55" spans="10:12" ht="15" customHeight="1"/>
    <row r="56" spans="10:12" ht="15" customHeight="1"/>
    <row r="57" spans="10:12" ht="15" customHeight="1"/>
    <row r="58" spans="10:12" ht="15" customHeight="1"/>
    <row r="59" spans="10:12" ht="15" customHeight="1"/>
    <row r="60" spans="10:12" ht="15" customHeight="1"/>
    <row r="61" spans="10:12" ht="15" customHeight="1"/>
    <row r="62" spans="10:12" ht="15" customHeight="1"/>
    <row r="63" spans="10:12" ht="15" customHeight="1"/>
    <row r="64" spans="10:12"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sheetData>
  <sheetProtection algorithmName="SHA-512" hashValue="NavUgUXvv8cluDJv0nZOZ3bpBmTDTbJn1F+4yjhpVYOMg12hK5MVnwgxI2UVW77UbDMmc4swDaBn3m9nRrqGcQ==" saltValue="+RE0cUxj/1JaLJ6gBwsWLA==" spinCount="100000" sheet="1" objects="1" scenarios="1"/>
  <mergeCells count="6">
    <mergeCell ref="C46:F46"/>
    <mergeCell ref="C48:E48"/>
    <mergeCell ref="B3:I3"/>
    <mergeCell ref="D5:F5"/>
    <mergeCell ref="G5:I5"/>
    <mergeCell ref="C47:E47"/>
  </mergeCells>
  <pageMargins left="0.75" right="0.5" top="0.5" bottom="0.75" header="0" footer="0.5"/>
  <pageSetup scale="80" firstPageNumber="23" orientation="portrait" verticalDpi="300" r:id="rId1"/>
  <headerFooter alignWithMargins="0">
    <oddFooter>&amp;C&amp;A&amp;R&amp;D &amp;T</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9">
    <pageSetUpPr fitToPage="1"/>
  </sheetPr>
  <dimension ref="A1:V38"/>
  <sheetViews>
    <sheetView zoomScaleNormal="100" workbookViewId="0"/>
  </sheetViews>
  <sheetFormatPr defaultColWidth="10.7109375" defaultRowHeight="12.75"/>
  <cols>
    <col min="1" max="1" width="5.7109375" style="4" bestFit="1" customWidth="1"/>
    <col min="2" max="2" width="2.7109375" style="4" customWidth="1"/>
    <col min="3" max="3" width="34.7109375" style="4" customWidth="1"/>
    <col min="4" max="4" width="15.7109375" style="4" customWidth="1"/>
    <col min="5" max="5" width="4.7109375" style="37" customWidth="1"/>
    <col min="6" max="6" width="2.7109375" style="4" customWidth="1"/>
    <col min="7" max="7" width="34.7109375" style="4" customWidth="1"/>
    <col min="8" max="8" width="15.7109375" style="4" customWidth="1"/>
    <col min="9" max="9" width="10.7109375" style="4"/>
    <col min="10" max="10" width="5.7109375" style="6" customWidth="1"/>
    <col min="11" max="11" width="5.7109375" style="4" hidden="1" customWidth="1"/>
    <col min="12" max="12" width="2.7109375" style="4" hidden="1" customWidth="1"/>
    <col min="13" max="13" width="34.7109375" style="4" hidden="1" customWidth="1"/>
    <col min="14" max="14" width="15.7109375" style="4" hidden="1" customWidth="1"/>
    <col min="15" max="15" width="4.7109375" style="37" hidden="1" customWidth="1"/>
    <col min="16" max="16" width="2.7109375" style="4" hidden="1" customWidth="1"/>
    <col min="17" max="17" width="34.7109375" style="4" hidden="1" customWidth="1"/>
    <col min="18" max="18" width="15.7109375" style="4" hidden="1" customWidth="1"/>
    <col min="19" max="19" width="5.7109375" style="6" customWidth="1"/>
    <col min="20" max="20" width="2.7109375" style="4" customWidth="1"/>
    <col min="21" max="21" width="8" style="4" customWidth="1"/>
    <col min="22" max="16384" width="10.7109375" style="4"/>
  </cols>
  <sheetData>
    <row r="1" spans="1:21" s="814" customFormat="1">
      <c r="A1" s="1302" t="str">
        <f>IF('FORM 1040-1'!D15="","",'FORM 1040-1'!D15)</f>
        <v/>
      </c>
      <c r="B1" s="1303"/>
      <c r="C1" s="1303"/>
      <c r="D1" s="1303"/>
      <c r="E1" s="1307"/>
      <c r="F1" s="1303"/>
      <c r="G1" s="1303"/>
      <c r="H1" s="1294" t="str">
        <f>IF('FORM 1040-1'!$E$12="","",'FORM 1040-1'!$E$12)</f>
        <v/>
      </c>
      <c r="J1" s="6"/>
      <c r="O1" s="804"/>
      <c r="S1" s="6"/>
    </row>
    <row r="2" spans="1:21" s="814" customFormat="1">
      <c r="E2" s="804"/>
      <c r="J2" s="6"/>
      <c r="O2" s="804"/>
      <c r="S2" s="6"/>
    </row>
    <row r="3" spans="1:21" ht="15" customHeight="1">
      <c r="A3" s="12" t="s">
        <v>5</v>
      </c>
      <c r="B3" s="1694" t="s">
        <v>268</v>
      </c>
      <c r="C3" s="1694"/>
      <c r="D3" s="1694"/>
      <c r="E3" s="1694"/>
      <c r="F3" s="1694"/>
      <c r="G3" s="1694"/>
      <c r="H3" s="1694"/>
      <c r="K3" s="12" t="s">
        <v>5</v>
      </c>
      <c r="L3" s="1694" t="s">
        <v>268</v>
      </c>
      <c r="M3" s="1694"/>
      <c r="N3" s="1694"/>
      <c r="O3" s="1694"/>
      <c r="P3" s="1694"/>
      <c r="Q3" s="1694"/>
      <c r="R3" s="1694"/>
      <c r="U3" s="40"/>
    </row>
    <row r="4" spans="1:21" ht="12" customHeight="1">
      <c r="B4" s="202"/>
      <c r="C4" s="202"/>
      <c r="D4" s="202"/>
      <c r="F4" s="202"/>
      <c r="G4" s="202"/>
      <c r="H4" s="202"/>
      <c r="L4" s="202"/>
      <c r="M4" s="202"/>
      <c r="N4" s="202"/>
      <c r="P4" s="202"/>
      <c r="Q4" s="202"/>
      <c r="R4" s="202"/>
      <c r="U4" s="40"/>
    </row>
    <row r="5" spans="1:21" ht="27" customHeight="1">
      <c r="B5" s="1656" t="s">
        <v>3</v>
      </c>
      <c r="C5" s="1656"/>
      <c r="D5" s="1656"/>
      <c r="E5" s="1656"/>
      <c r="F5" s="1656"/>
      <c r="G5" s="1656"/>
      <c r="H5" s="1656"/>
      <c r="L5" s="1656" t="s">
        <v>3</v>
      </c>
      <c r="M5" s="1656"/>
      <c r="N5" s="1656"/>
      <c r="O5" s="1656"/>
      <c r="P5" s="1656"/>
      <c r="Q5" s="1656"/>
      <c r="R5" s="1656"/>
      <c r="U5" s="40"/>
    </row>
    <row r="6" spans="1:21" ht="12" customHeight="1" thickBot="1">
      <c r="B6" s="202"/>
      <c r="C6" s="202"/>
      <c r="D6" s="202"/>
      <c r="E6" s="1088"/>
      <c r="F6" s="1095"/>
      <c r="G6" s="202"/>
      <c r="H6" s="202"/>
      <c r="L6" s="202"/>
      <c r="M6" s="202"/>
      <c r="N6" s="202"/>
      <c r="P6" s="202"/>
      <c r="Q6" s="202"/>
      <c r="R6" s="202"/>
      <c r="U6" s="40"/>
    </row>
    <row r="7" spans="1:21" ht="24.95" customHeight="1" thickTop="1" thickBot="1">
      <c r="B7" s="1155" t="s">
        <v>53</v>
      </c>
      <c r="C7" s="1927" t="s">
        <v>699</v>
      </c>
      <c r="D7" s="1927"/>
      <c r="E7" s="1089"/>
      <c r="F7" s="1155" t="s">
        <v>55</v>
      </c>
      <c r="G7" s="1927" t="s">
        <v>238</v>
      </c>
      <c r="H7" s="1927"/>
      <c r="L7" s="337" t="s">
        <v>53</v>
      </c>
      <c r="M7" s="1927" t="s">
        <v>699</v>
      </c>
      <c r="N7" s="1927"/>
      <c r="O7" s="338"/>
      <c r="P7" s="337" t="s">
        <v>55</v>
      </c>
      <c r="Q7" s="1927" t="s">
        <v>238</v>
      </c>
      <c r="R7" s="1927"/>
      <c r="T7" s="40"/>
      <c r="U7" s="40"/>
    </row>
    <row r="8" spans="1:21" ht="24.95" customHeight="1" thickTop="1" thickBot="1">
      <c r="B8" s="1091"/>
      <c r="C8" s="339" t="s">
        <v>98</v>
      </c>
      <c r="D8" s="340" t="s">
        <v>237</v>
      </c>
      <c r="E8" s="1159"/>
      <c r="F8" s="1091"/>
      <c r="G8" s="339" t="s">
        <v>98</v>
      </c>
      <c r="H8" s="340" t="s">
        <v>237</v>
      </c>
      <c r="L8" s="198"/>
      <c r="M8" s="339" t="s">
        <v>98</v>
      </c>
      <c r="N8" s="340" t="s">
        <v>237</v>
      </c>
      <c r="O8" s="341"/>
      <c r="P8" s="198"/>
      <c r="Q8" s="339" t="s">
        <v>98</v>
      </c>
      <c r="R8" s="340" t="s">
        <v>237</v>
      </c>
      <c r="T8" s="40"/>
      <c r="U8" s="40"/>
    </row>
    <row r="9" spans="1:21" s="202" customFormat="1" ht="24.95" customHeight="1" thickTop="1" thickBot="1">
      <c r="B9" s="1156"/>
      <c r="C9" s="343" t="s">
        <v>679</v>
      </c>
      <c r="D9" s="142"/>
      <c r="E9" s="344"/>
      <c r="F9" s="1156"/>
      <c r="G9" s="343" t="s">
        <v>239</v>
      </c>
      <c r="H9" s="142"/>
      <c r="J9" s="270"/>
      <c r="L9" s="342"/>
      <c r="M9" s="343" t="s">
        <v>679</v>
      </c>
      <c r="N9" s="143" t="str">
        <f>IF(D9="","",(D9))</f>
        <v/>
      </c>
      <c r="O9" s="344"/>
      <c r="P9" s="342"/>
      <c r="Q9" s="343" t="s">
        <v>239</v>
      </c>
      <c r="R9" s="143" t="str">
        <f t="shared" ref="R9:R19" si="0">IF(H9="","",(H9))</f>
        <v/>
      </c>
      <c r="S9" s="270"/>
      <c r="U9" s="308"/>
    </row>
    <row r="10" spans="1:21" s="202" customFormat="1" ht="24.95" customHeight="1" thickTop="1" thickBot="1">
      <c r="B10" s="1156"/>
      <c r="C10" s="343" t="s">
        <v>680</v>
      </c>
      <c r="D10" s="142"/>
      <c r="E10" s="344"/>
      <c r="F10" s="1156"/>
      <c r="G10" s="343" t="s">
        <v>240</v>
      </c>
      <c r="H10" s="142"/>
      <c r="J10" s="270"/>
      <c r="L10" s="342"/>
      <c r="M10" s="343" t="s">
        <v>680</v>
      </c>
      <c r="N10" s="143" t="str">
        <f t="shared" ref="N10:N22" si="1">IF(D10="","",(D10))</f>
        <v/>
      </c>
      <c r="O10" s="344"/>
      <c r="P10" s="342"/>
      <c r="Q10" s="343" t="s">
        <v>240</v>
      </c>
      <c r="R10" s="143" t="str">
        <f t="shared" si="0"/>
        <v/>
      </c>
      <c r="S10" s="270"/>
      <c r="U10" s="308"/>
    </row>
    <row r="11" spans="1:21" s="202" customFormat="1" ht="24.95" customHeight="1" thickTop="1" thickBot="1">
      <c r="B11" s="1156"/>
      <c r="C11" s="343" t="s">
        <v>681</v>
      </c>
      <c r="D11" s="142"/>
      <c r="E11" s="344"/>
      <c r="F11" s="1156"/>
      <c r="G11" s="343" t="s">
        <v>690</v>
      </c>
      <c r="H11" s="142"/>
      <c r="J11" s="270"/>
      <c r="L11" s="342"/>
      <c r="M11" s="343" t="s">
        <v>681</v>
      </c>
      <c r="N11" s="143" t="str">
        <f t="shared" si="1"/>
        <v/>
      </c>
      <c r="O11" s="344"/>
      <c r="P11" s="342"/>
      <c r="Q11" s="343" t="s">
        <v>690</v>
      </c>
      <c r="R11" s="143" t="str">
        <f t="shared" si="0"/>
        <v/>
      </c>
      <c r="S11" s="270"/>
      <c r="U11" s="308"/>
    </row>
    <row r="12" spans="1:21" s="202" customFormat="1" ht="24.95" customHeight="1" thickTop="1" thickBot="1">
      <c r="B12" s="1156"/>
      <c r="C12" s="343" t="s">
        <v>682</v>
      </c>
      <c r="D12" s="142"/>
      <c r="E12" s="344"/>
      <c r="F12" s="1156"/>
      <c r="G12" s="343" t="s">
        <v>691</v>
      </c>
      <c r="H12" s="142"/>
      <c r="J12" s="270"/>
      <c r="L12" s="342"/>
      <c r="M12" s="343" t="s">
        <v>682</v>
      </c>
      <c r="N12" s="143" t="str">
        <f t="shared" si="1"/>
        <v/>
      </c>
      <c r="O12" s="344"/>
      <c r="P12" s="342"/>
      <c r="Q12" s="343" t="s">
        <v>691</v>
      </c>
      <c r="R12" s="143" t="str">
        <f t="shared" si="0"/>
        <v/>
      </c>
      <c r="S12" s="270"/>
      <c r="U12" s="308"/>
    </row>
    <row r="13" spans="1:21" s="202" customFormat="1" ht="24.95" customHeight="1" thickTop="1" thickBot="1">
      <c r="B13" s="1157"/>
      <c r="C13" s="343" t="s">
        <v>683</v>
      </c>
      <c r="D13" s="142"/>
      <c r="E13" s="344"/>
      <c r="F13" s="1156"/>
      <c r="G13" s="343" t="s">
        <v>689</v>
      </c>
      <c r="H13" s="142"/>
      <c r="J13" s="270"/>
      <c r="L13" s="345"/>
      <c r="M13" s="343" t="s">
        <v>683</v>
      </c>
      <c r="N13" s="143" t="str">
        <f t="shared" si="1"/>
        <v/>
      </c>
      <c r="O13" s="344"/>
      <c r="P13" s="342"/>
      <c r="Q13" s="343" t="s">
        <v>689</v>
      </c>
      <c r="R13" s="143" t="str">
        <f t="shared" si="0"/>
        <v/>
      </c>
      <c r="S13" s="270"/>
      <c r="U13" s="308"/>
    </row>
    <row r="14" spans="1:21" s="202" customFormat="1" ht="24.95" customHeight="1" thickTop="1" thickBot="1">
      <c r="B14" s="1157"/>
      <c r="C14" s="343" t="s">
        <v>684</v>
      </c>
      <c r="D14" s="142"/>
      <c r="E14" s="344"/>
      <c r="F14" s="1157"/>
      <c r="G14" s="343" t="s">
        <v>692</v>
      </c>
      <c r="H14" s="142"/>
      <c r="J14" s="270"/>
      <c r="L14" s="345"/>
      <c r="M14" s="343" t="s">
        <v>684</v>
      </c>
      <c r="N14" s="143" t="str">
        <f t="shared" si="1"/>
        <v/>
      </c>
      <c r="O14" s="344"/>
      <c r="P14" s="345"/>
      <c r="Q14" s="343" t="s">
        <v>692</v>
      </c>
      <c r="R14" s="143" t="str">
        <f t="shared" si="0"/>
        <v/>
      </c>
      <c r="S14" s="270"/>
      <c r="U14" s="308"/>
    </row>
    <row r="15" spans="1:21" s="202" customFormat="1" ht="24.95" customHeight="1" thickTop="1" thickBot="1">
      <c r="B15" s="1156"/>
      <c r="C15" s="343" t="s">
        <v>685</v>
      </c>
      <c r="D15" s="142"/>
      <c r="E15" s="344"/>
      <c r="F15" s="1157"/>
      <c r="G15" s="343" t="s">
        <v>693</v>
      </c>
      <c r="H15" s="142"/>
      <c r="J15" s="270"/>
      <c r="L15" s="342"/>
      <c r="M15" s="343" t="s">
        <v>685</v>
      </c>
      <c r="N15" s="143" t="str">
        <f t="shared" si="1"/>
        <v/>
      </c>
      <c r="O15" s="344"/>
      <c r="P15" s="345"/>
      <c r="Q15" s="343" t="s">
        <v>693</v>
      </c>
      <c r="R15" s="143" t="str">
        <f t="shared" si="0"/>
        <v/>
      </c>
      <c r="S15" s="270"/>
      <c r="U15" s="308"/>
    </row>
    <row r="16" spans="1:21" s="202" customFormat="1" ht="24.95" customHeight="1" thickTop="1" thickBot="1">
      <c r="B16" s="1157"/>
      <c r="C16" s="343" t="s">
        <v>686</v>
      </c>
      <c r="D16" s="142"/>
      <c r="E16" s="344"/>
      <c r="F16" s="1156"/>
      <c r="G16" s="343" t="s">
        <v>694</v>
      </c>
      <c r="H16" s="142"/>
      <c r="J16" s="270"/>
      <c r="L16" s="345"/>
      <c r="M16" s="343" t="s">
        <v>686</v>
      </c>
      <c r="N16" s="143" t="str">
        <f t="shared" si="1"/>
        <v/>
      </c>
      <c r="O16" s="344"/>
      <c r="P16" s="342"/>
      <c r="Q16" s="343" t="s">
        <v>694</v>
      </c>
      <c r="R16" s="143" t="str">
        <f t="shared" si="0"/>
        <v/>
      </c>
      <c r="S16" s="270"/>
      <c r="U16" s="308"/>
    </row>
    <row r="17" spans="1:22" s="202" customFormat="1" ht="24.95" customHeight="1" thickTop="1" thickBot="1">
      <c r="B17" s="1156"/>
      <c r="C17" s="343" t="s">
        <v>688</v>
      </c>
      <c r="D17" s="142"/>
      <c r="E17" s="344"/>
      <c r="F17" s="1157"/>
      <c r="G17" s="343" t="s">
        <v>695</v>
      </c>
      <c r="H17" s="142"/>
      <c r="J17" s="270"/>
      <c r="L17" s="342"/>
      <c r="M17" s="343" t="s">
        <v>688</v>
      </c>
      <c r="N17" s="143" t="str">
        <f t="shared" si="1"/>
        <v/>
      </c>
      <c r="O17" s="344"/>
      <c r="P17" s="345"/>
      <c r="Q17" s="343" t="s">
        <v>695</v>
      </c>
      <c r="R17" s="143" t="str">
        <f t="shared" si="0"/>
        <v/>
      </c>
      <c r="S17" s="270"/>
      <c r="U17" s="308"/>
    </row>
    <row r="18" spans="1:22" s="202" customFormat="1" ht="24.95" customHeight="1" thickTop="1" thickBot="1">
      <c r="B18" s="1156"/>
      <c r="C18" s="343" t="s">
        <v>676</v>
      </c>
      <c r="D18" s="142"/>
      <c r="E18" s="344"/>
      <c r="F18" s="1156"/>
      <c r="G18" s="343" t="s">
        <v>696</v>
      </c>
      <c r="H18" s="368">
        <f>'FORM 1040-11'!D44*35</f>
        <v>0</v>
      </c>
      <c r="J18" s="270"/>
      <c r="L18" s="342"/>
      <c r="M18" s="343" t="s">
        <v>676</v>
      </c>
      <c r="N18" s="143" t="str">
        <f t="shared" si="1"/>
        <v/>
      </c>
      <c r="O18" s="344"/>
      <c r="P18" s="342"/>
      <c r="Q18" s="343" t="s">
        <v>696</v>
      </c>
      <c r="R18" s="143">
        <f t="shared" si="0"/>
        <v>0</v>
      </c>
      <c r="S18" s="270"/>
      <c r="U18" s="308"/>
    </row>
    <row r="19" spans="1:22" s="202" customFormat="1" ht="24.95" customHeight="1" thickTop="1" thickBot="1">
      <c r="B19" s="1157"/>
      <c r="C19" s="343" t="s">
        <v>687</v>
      </c>
      <c r="D19" s="142"/>
      <c r="E19" s="344"/>
      <c r="F19" s="1156"/>
      <c r="G19" s="346" t="s">
        <v>697</v>
      </c>
      <c r="H19" s="142"/>
      <c r="J19" s="270"/>
      <c r="L19" s="345"/>
      <c r="M19" s="343" t="s">
        <v>687</v>
      </c>
      <c r="N19" s="143" t="str">
        <f t="shared" si="1"/>
        <v/>
      </c>
      <c r="O19" s="344"/>
      <c r="P19" s="342"/>
      <c r="Q19" s="346" t="s">
        <v>697</v>
      </c>
      <c r="R19" s="143" t="str">
        <f t="shared" si="0"/>
        <v/>
      </c>
      <c r="S19" s="270"/>
      <c r="U19" s="308"/>
    </row>
    <row r="20" spans="1:22" s="202" customFormat="1" ht="24.95" customHeight="1" thickTop="1" thickBot="1">
      <c r="B20" s="1157"/>
      <c r="C20" s="343" t="s">
        <v>678</v>
      </c>
      <c r="D20" s="142"/>
      <c r="E20" s="344"/>
      <c r="F20" s="1156"/>
      <c r="G20" s="332" t="s">
        <v>2188</v>
      </c>
      <c r="H20" s="347">
        <f>SUM(H9:H19)</f>
        <v>0</v>
      </c>
      <c r="J20" s="270"/>
      <c r="L20" s="345"/>
      <c r="M20" s="343" t="s">
        <v>678</v>
      </c>
      <c r="N20" s="143" t="str">
        <f t="shared" si="1"/>
        <v/>
      </c>
      <c r="O20" s="344"/>
      <c r="P20" s="342"/>
      <c r="Q20" s="194" t="s">
        <v>273</v>
      </c>
      <c r="R20" s="347"/>
      <c r="S20" s="270"/>
      <c r="U20" s="308"/>
    </row>
    <row r="21" spans="1:22" s="202" customFormat="1" ht="24.95" customHeight="1" thickTop="1" thickBot="1">
      <c r="B21" s="1157"/>
      <c r="C21" s="346" t="s">
        <v>677</v>
      </c>
      <c r="D21" s="142"/>
      <c r="E21" s="344"/>
      <c r="F21" s="1090"/>
      <c r="G21" s="348"/>
      <c r="H21" s="349"/>
      <c r="J21" s="270"/>
      <c r="L21" s="345"/>
      <c r="M21" s="346" t="s">
        <v>677</v>
      </c>
      <c r="N21" s="143" t="str">
        <f t="shared" si="1"/>
        <v/>
      </c>
      <c r="O21" s="344"/>
      <c r="P21" s="278"/>
      <c r="Q21" s="348"/>
      <c r="R21" s="349"/>
      <c r="S21" s="270"/>
      <c r="U21" s="308"/>
    </row>
    <row r="22" spans="1:22" s="202" customFormat="1" ht="24.95" customHeight="1" thickTop="1" thickBot="1">
      <c r="B22" s="1157"/>
      <c r="C22" s="343" t="s">
        <v>698</v>
      </c>
      <c r="D22" s="142"/>
      <c r="E22" s="344"/>
      <c r="F22" s="1158" t="s">
        <v>56</v>
      </c>
      <c r="G22" s="1780" t="s">
        <v>712</v>
      </c>
      <c r="H22" s="1781"/>
      <c r="J22" s="270"/>
      <c r="L22" s="345"/>
      <c r="M22" s="343" t="s">
        <v>698</v>
      </c>
      <c r="N22" s="143" t="str">
        <f t="shared" si="1"/>
        <v/>
      </c>
      <c r="O22" s="344"/>
      <c r="P22" s="350" t="s">
        <v>56</v>
      </c>
      <c r="Q22" s="1780" t="s">
        <v>712</v>
      </c>
      <c r="R22" s="1781"/>
      <c r="S22" s="270"/>
      <c r="U22" s="308"/>
    </row>
    <row r="23" spans="1:22" s="202" customFormat="1" ht="24.95" customHeight="1" thickTop="1" thickBot="1">
      <c r="B23" s="1156"/>
      <c r="C23" s="1154" t="s">
        <v>700</v>
      </c>
      <c r="D23" s="347">
        <f>SUM(D9:D22)</f>
        <v>0</v>
      </c>
      <c r="E23" s="344"/>
      <c r="F23" s="1156"/>
      <c r="G23" s="343" t="s">
        <v>713</v>
      </c>
      <c r="H23" s="142"/>
      <c r="J23" s="270"/>
      <c r="L23" s="351"/>
      <c r="M23" s="50" t="s">
        <v>700</v>
      </c>
      <c r="N23" s="347"/>
      <c r="O23" s="344"/>
      <c r="P23" s="342"/>
      <c r="Q23" s="343" t="s">
        <v>713</v>
      </c>
      <c r="R23" s="143" t="str">
        <f t="shared" ref="R23:R30" si="2">IF(H23="","",(H23))</f>
        <v/>
      </c>
      <c r="S23" s="270"/>
      <c r="U23" s="308"/>
    </row>
    <row r="24" spans="1:22" s="202" customFormat="1" ht="24.95" customHeight="1" thickTop="1" thickBot="1">
      <c r="E24" s="344"/>
      <c r="F24" s="1156"/>
      <c r="G24" s="352" t="s">
        <v>707</v>
      </c>
      <c r="H24" s="142"/>
      <c r="J24" s="270"/>
      <c r="O24" s="344"/>
      <c r="P24" s="342"/>
      <c r="Q24" s="352" t="s">
        <v>707</v>
      </c>
      <c r="R24" s="143" t="str">
        <f t="shared" si="2"/>
        <v/>
      </c>
      <c r="S24" s="270"/>
      <c r="U24" s="308"/>
    </row>
    <row r="25" spans="1:22" s="202" customFormat="1" ht="24.95" customHeight="1" thickTop="1" thickBot="1">
      <c r="B25" s="1155" t="s">
        <v>54</v>
      </c>
      <c r="C25" s="1780" t="s">
        <v>704</v>
      </c>
      <c r="D25" s="1781"/>
      <c r="E25" s="344"/>
      <c r="F25" s="1156"/>
      <c r="G25" s="352" t="s">
        <v>706</v>
      </c>
      <c r="H25" s="142"/>
      <c r="J25" s="270"/>
      <c r="L25" s="353" t="s">
        <v>54</v>
      </c>
      <c r="M25" s="1780" t="s">
        <v>704</v>
      </c>
      <c r="N25" s="1781"/>
      <c r="O25" s="344"/>
      <c r="P25" s="342"/>
      <c r="Q25" s="352" t="s">
        <v>706</v>
      </c>
      <c r="R25" s="143" t="str">
        <f t="shared" si="2"/>
        <v/>
      </c>
      <c r="S25" s="270"/>
      <c r="T25" s="308"/>
      <c r="U25" s="308"/>
      <c r="V25" s="21"/>
    </row>
    <row r="26" spans="1:22" s="202" customFormat="1" ht="24.95" customHeight="1" thickTop="1" thickBot="1">
      <c r="B26" s="1157"/>
      <c r="C26" s="343" t="s">
        <v>701</v>
      </c>
      <c r="D26" s="134"/>
      <c r="E26" s="344"/>
      <c r="F26" s="1156"/>
      <c r="G26" s="354" t="s">
        <v>708</v>
      </c>
      <c r="H26" s="142"/>
      <c r="J26" s="270"/>
      <c r="L26" s="345"/>
      <c r="M26" s="343" t="s">
        <v>701</v>
      </c>
      <c r="N26" s="136" t="str">
        <f>IF(D26="","",(D26))</f>
        <v/>
      </c>
      <c r="O26" s="344"/>
      <c r="P26" s="342"/>
      <c r="Q26" s="354" t="s">
        <v>708</v>
      </c>
      <c r="R26" s="143" t="str">
        <f t="shared" si="2"/>
        <v/>
      </c>
      <c r="S26" s="270"/>
      <c r="U26" s="308"/>
    </row>
    <row r="27" spans="1:22" s="202" customFormat="1" ht="24.95" customHeight="1" thickTop="1" thickBot="1">
      <c r="B27" s="1157"/>
      <c r="C27" s="343" t="s">
        <v>204</v>
      </c>
      <c r="D27" s="134"/>
      <c r="E27" s="344"/>
      <c r="F27" s="1156"/>
      <c r="G27" s="343" t="s">
        <v>709</v>
      </c>
      <c r="H27" s="142"/>
      <c r="J27" s="270"/>
      <c r="L27" s="345"/>
      <c r="M27" s="343" t="s">
        <v>204</v>
      </c>
      <c r="N27" s="136" t="str">
        <f>IF(D27="","",(D27))</f>
        <v/>
      </c>
      <c r="O27" s="344"/>
      <c r="P27" s="342"/>
      <c r="Q27" s="343" t="s">
        <v>709</v>
      </c>
      <c r="R27" s="143" t="str">
        <f t="shared" si="2"/>
        <v/>
      </c>
      <c r="S27" s="270"/>
      <c r="U27" s="308"/>
    </row>
    <row r="28" spans="1:22" s="202" customFormat="1" ht="24.95" customHeight="1" thickTop="1" thickBot="1">
      <c r="B28" s="1157"/>
      <c r="C28" s="343" t="s">
        <v>702</v>
      </c>
      <c r="D28" s="134"/>
      <c r="E28" s="344"/>
      <c r="F28" s="1156"/>
      <c r="G28" s="343" t="s">
        <v>710</v>
      </c>
      <c r="H28" s="142"/>
      <c r="J28" s="270"/>
      <c r="L28" s="345"/>
      <c r="M28" s="343" t="s">
        <v>702</v>
      </c>
      <c r="N28" s="136" t="str">
        <f>IF(D28="","",(D28))</f>
        <v/>
      </c>
      <c r="O28" s="344"/>
      <c r="P28" s="342"/>
      <c r="Q28" s="343" t="s">
        <v>710</v>
      </c>
      <c r="R28" s="143" t="str">
        <f t="shared" si="2"/>
        <v/>
      </c>
      <c r="S28" s="270"/>
      <c r="U28" s="308"/>
    </row>
    <row r="29" spans="1:22" s="202" customFormat="1" ht="24.95" customHeight="1" thickTop="1" thickBot="1">
      <c r="B29" s="1157"/>
      <c r="C29" s="343" t="s">
        <v>205</v>
      </c>
      <c r="D29" s="134"/>
      <c r="E29" s="344"/>
      <c r="F29" s="1156"/>
      <c r="G29" s="343" t="s">
        <v>714</v>
      </c>
      <c r="H29" s="142"/>
      <c r="J29" s="270"/>
      <c r="L29" s="345"/>
      <c r="M29" s="343" t="s">
        <v>205</v>
      </c>
      <c r="N29" s="136" t="str">
        <f>IF(D29="","",(D29))</f>
        <v/>
      </c>
      <c r="O29" s="344"/>
      <c r="P29" s="342"/>
      <c r="Q29" s="343" t="s">
        <v>714</v>
      </c>
      <c r="R29" s="143" t="str">
        <f t="shared" si="2"/>
        <v/>
      </c>
      <c r="S29" s="270"/>
      <c r="U29" s="308"/>
    </row>
    <row r="30" spans="1:22" s="202" customFormat="1" ht="24.95" customHeight="1" thickTop="1" thickBot="1">
      <c r="B30" s="1157"/>
      <c r="C30" s="343" t="s">
        <v>705</v>
      </c>
      <c r="D30" s="134"/>
      <c r="E30" s="344"/>
      <c r="F30" s="1156"/>
      <c r="G30" s="343" t="s">
        <v>715</v>
      </c>
      <c r="H30" s="142"/>
      <c r="J30" s="270"/>
      <c r="L30" s="345"/>
      <c r="M30" s="343" t="s">
        <v>705</v>
      </c>
      <c r="N30" s="136" t="str">
        <f>IF(D30="","",(D30))</f>
        <v/>
      </c>
      <c r="O30" s="344"/>
      <c r="P30" s="342"/>
      <c r="Q30" s="343" t="s">
        <v>715</v>
      </c>
      <c r="R30" s="143" t="str">
        <f t="shared" si="2"/>
        <v/>
      </c>
      <c r="S30" s="270"/>
      <c r="U30" s="308"/>
    </row>
    <row r="31" spans="1:22" s="202" customFormat="1" ht="24.95" customHeight="1" thickTop="1" thickBot="1">
      <c r="B31" s="1157"/>
      <c r="C31" s="1154" t="s">
        <v>703</v>
      </c>
      <c r="D31" s="151">
        <f>SUM(D26:D30)</f>
        <v>0</v>
      </c>
      <c r="E31" s="344"/>
      <c r="F31" s="1156"/>
      <c r="G31" s="1154" t="s">
        <v>711</v>
      </c>
      <c r="H31" s="347">
        <f>SUM(H23:H30)</f>
        <v>0</v>
      </c>
      <c r="J31" s="270"/>
      <c r="L31" s="355"/>
      <c r="M31" s="50" t="s">
        <v>703</v>
      </c>
      <c r="N31" s="151"/>
      <c r="O31" s="344"/>
      <c r="P31" s="351"/>
      <c r="Q31" s="50" t="s">
        <v>711</v>
      </c>
      <c r="R31" s="347"/>
      <c r="S31" s="270"/>
      <c r="U31" s="308"/>
    </row>
    <row r="32" spans="1:22" s="357" customFormat="1" ht="12" customHeight="1" thickTop="1" thickBot="1">
      <c r="A32" s="283"/>
      <c r="B32" s="283"/>
      <c r="C32" s="283"/>
      <c r="D32" s="356"/>
      <c r="E32" s="356"/>
      <c r="F32" s="202"/>
      <c r="G32" s="202"/>
      <c r="H32" s="202"/>
      <c r="J32" s="282"/>
      <c r="K32" s="283"/>
      <c r="L32" s="283"/>
      <c r="M32" s="283"/>
      <c r="N32" s="356"/>
      <c r="O32" s="356"/>
      <c r="P32" s="202"/>
      <c r="Q32" s="202"/>
      <c r="R32" s="202"/>
      <c r="S32" s="282"/>
      <c r="U32" s="358"/>
    </row>
    <row r="33" spans="1:21" s="202" customFormat="1" ht="20.100000000000001" customHeight="1" thickTop="1" thickBot="1">
      <c r="A33" s="271"/>
      <c r="B33" s="1155" t="s">
        <v>105</v>
      </c>
      <c r="C33" s="2002" t="s">
        <v>241</v>
      </c>
      <c r="D33" s="2002"/>
      <c r="E33" s="2002"/>
      <c r="F33" s="2002"/>
      <c r="G33" s="2003"/>
      <c r="H33" s="347">
        <f>+D23+D31+H20+H31</f>
        <v>0</v>
      </c>
      <c r="J33" s="270"/>
      <c r="K33" s="271"/>
      <c r="L33" s="361"/>
      <c r="M33" s="359" t="s">
        <v>241</v>
      </c>
      <c r="N33" s="359"/>
      <c r="O33" s="359"/>
      <c r="P33" s="359"/>
      <c r="Q33" s="360"/>
      <c r="R33" s="347"/>
      <c r="S33" s="270"/>
      <c r="U33" s="308"/>
    </row>
    <row r="34" spans="1:21" s="283" customFormat="1" ht="12" customHeight="1" thickTop="1" thickBot="1">
      <c r="B34" s="1090"/>
      <c r="C34" s="1160"/>
      <c r="D34" s="1090"/>
      <c r="E34" s="1090"/>
      <c r="F34" s="1090"/>
      <c r="G34" s="362"/>
      <c r="H34" s="356"/>
      <c r="J34" s="282"/>
      <c r="Q34" s="362"/>
      <c r="R34" s="356"/>
      <c r="S34" s="282"/>
      <c r="U34" s="363"/>
    </row>
    <row r="35" spans="1:21" s="202" customFormat="1" ht="20.100000000000001" customHeight="1" thickTop="1" thickBot="1">
      <c r="A35" s="271"/>
      <c r="B35" s="1155" t="s">
        <v>106</v>
      </c>
      <c r="C35" s="2002" t="s">
        <v>242</v>
      </c>
      <c r="D35" s="2002"/>
      <c r="E35" s="2002"/>
      <c r="F35" s="2002"/>
      <c r="G35" s="2003"/>
      <c r="H35" s="1291">
        <f>IF(ISERROR(+H33/'FORM 1040-22'!F52),0,+H33/'FORM 1040-22'!F52)</f>
        <v>0</v>
      </c>
      <c r="J35" s="270"/>
      <c r="K35" s="271"/>
      <c r="L35" s="361"/>
      <c r="M35" s="359" t="s">
        <v>242</v>
      </c>
      <c r="N35" s="364"/>
      <c r="O35" s="364"/>
      <c r="P35" s="364"/>
      <c r="Q35" s="365"/>
      <c r="R35" s="366"/>
      <c r="S35" s="270"/>
      <c r="U35" s="308"/>
    </row>
    <row r="36" spans="1:21" s="283" customFormat="1" ht="12" customHeight="1" thickTop="1">
      <c r="J36" s="282"/>
      <c r="S36" s="282"/>
      <c r="U36" s="363"/>
    </row>
    <row r="37" spans="1:21" ht="15" customHeight="1">
      <c r="B37" s="4" t="s">
        <v>101</v>
      </c>
      <c r="C37" s="1694" t="s">
        <v>143</v>
      </c>
      <c r="D37" s="1694"/>
      <c r="E37" s="1694"/>
      <c r="F37" s="1694"/>
      <c r="G37" s="1694"/>
      <c r="H37" s="1694"/>
      <c r="L37" s="4" t="s">
        <v>101</v>
      </c>
      <c r="M37" s="37" t="s">
        <v>143</v>
      </c>
      <c r="N37" s="37"/>
      <c r="P37" s="283"/>
      <c r="Q37" s="283"/>
      <c r="R37" s="356"/>
    </row>
    <row r="38" spans="1:21">
      <c r="F38" s="37"/>
      <c r="G38" s="37"/>
      <c r="H38" s="37"/>
      <c r="P38" s="37"/>
      <c r="Q38" s="37"/>
      <c r="R38" s="37"/>
    </row>
  </sheetData>
  <sheetProtection algorithmName="SHA-512" hashValue="sa5ssbGntrjUrDKn7xTGESNMXYVAARxxnJjpoYsTluE1qCR3F4RQwaRKSwZhZ1+p3ylM28qwhXeV3cjkwXdCAQ==" saltValue="F/Xc2gJ58saR3p2CY447pw==" spinCount="100000" sheet="1" objects="1" scenarios="1"/>
  <sortState xmlns:xlrd2="http://schemas.microsoft.com/office/spreadsheetml/2017/richdata2" ref="M16:M21">
    <sortCondition ref="M16:M21"/>
  </sortState>
  <mergeCells count="15">
    <mergeCell ref="C33:G33"/>
    <mergeCell ref="C35:G35"/>
    <mergeCell ref="C37:H37"/>
    <mergeCell ref="M7:N7"/>
    <mergeCell ref="Q7:R7"/>
    <mergeCell ref="M25:N25"/>
    <mergeCell ref="Q22:R22"/>
    <mergeCell ref="L3:R3"/>
    <mergeCell ref="L5:R5"/>
    <mergeCell ref="C25:D25"/>
    <mergeCell ref="B3:H3"/>
    <mergeCell ref="B5:H5"/>
    <mergeCell ref="C7:D7"/>
    <mergeCell ref="G7:H7"/>
    <mergeCell ref="G22:H22"/>
  </mergeCells>
  <pageMargins left="0.75" right="0.5" top="0.5" bottom="0.75" header="0" footer="0.5"/>
  <pageSetup scale="80" firstPageNumber="24" orientation="portrait" verticalDpi="300" r:id="rId1"/>
  <headerFooter alignWithMargins="0">
    <oddFooter>&amp;C&amp;A&amp;R&amp;D &amp;T</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pageSetUpPr fitToPage="1"/>
  </sheetPr>
  <dimension ref="A1:AN546"/>
  <sheetViews>
    <sheetView workbookViewId="0"/>
  </sheetViews>
  <sheetFormatPr defaultColWidth="9.7109375" defaultRowHeight="12.75"/>
  <cols>
    <col min="1" max="1" width="4.7109375" style="12" customWidth="1"/>
    <col min="2" max="2" width="15.7109375" style="4" customWidth="1"/>
    <col min="3" max="3" width="16.7109375" style="878" customWidth="1"/>
    <col min="4" max="5" width="19.7109375" style="4" customWidth="1"/>
    <col min="6" max="6" width="7.7109375" style="4" customWidth="1"/>
    <col min="7" max="7" width="12.7109375" style="878" customWidth="1"/>
    <col min="8" max="8" width="4.7109375" style="4" customWidth="1"/>
    <col min="9" max="9" width="15.7109375" style="878" customWidth="1"/>
    <col min="10" max="10" width="5.7109375" style="4" customWidth="1"/>
    <col min="11" max="11" width="22.7109375" style="1397" customWidth="1"/>
    <col min="12" max="12" width="15.7109375" style="1397" customWidth="1"/>
    <col min="13" max="13" width="9.7109375" style="1397"/>
    <col min="14" max="14" width="5.7109375" style="6" customWidth="1"/>
    <col min="15" max="15" width="4.7109375" style="12" hidden="1" customWidth="1"/>
    <col min="16" max="16" width="29.7109375" style="4" hidden="1" customWidth="1"/>
    <col min="17" max="20" width="20.7109375" style="4" hidden="1" customWidth="1"/>
    <col min="21" max="21" width="4.7109375" style="4" hidden="1" customWidth="1"/>
    <col min="22" max="23" width="9.7109375" style="4" hidden="1" customWidth="1"/>
    <col min="24" max="24" width="11.42578125" style="4" hidden="1" customWidth="1"/>
    <col min="25" max="25" width="19.85546875" style="4" hidden="1" customWidth="1"/>
    <col min="26" max="26" width="6" style="1388" hidden="1" customWidth="1"/>
    <col min="27" max="27" width="28.85546875" style="1388" hidden="1" customWidth="1"/>
    <col min="28" max="34" width="19.85546875" style="1388" hidden="1" customWidth="1"/>
    <col min="35" max="35" width="6.5703125" style="77" hidden="1" customWidth="1"/>
    <col min="36" max="36" width="19.85546875" style="1388" hidden="1" customWidth="1"/>
    <col min="37" max="37" width="5.7109375" style="6" customWidth="1"/>
    <col min="38" max="16384" width="9.7109375" style="4"/>
  </cols>
  <sheetData>
    <row r="1" spans="1:37" s="814" customFormat="1">
      <c r="A1" s="1302" t="str">
        <f>IF('FORM 1040-1'!D15="","",'FORM 1040-1'!D15)</f>
        <v/>
      </c>
      <c r="B1" s="1303"/>
      <c r="C1" s="1303"/>
      <c r="D1" s="1303"/>
      <c r="E1" s="1303"/>
      <c r="F1" s="1303"/>
      <c r="G1" s="1303"/>
      <c r="H1" s="1303"/>
      <c r="I1" s="1294" t="str">
        <f>IF('FORM 1040-1'!$E$12="","",'FORM 1040-1'!$E$12)</f>
        <v/>
      </c>
      <c r="K1" s="1397"/>
      <c r="L1" s="1397"/>
      <c r="M1" s="1397"/>
      <c r="N1" s="6"/>
      <c r="O1" s="801"/>
      <c r="AI1" s="77"/>
      <c r="AK1" s="6"/>
    </row>
    <row r="2" spans="1:37" s="814" customFormat="1">
      <c r="A2" s="801"/>
      <c r="C2" s="878"/>
      <c r="G2" s="878"/>
      <c r="I2" s="878"/>
      <c r="K2" s="1397"/>
      <c r="L2" s="1402"/>
      <c r="M2" s="1397"/>
      <c r="N2" s="6"/>
      <c r="O2" s="801"/>
      <c r="AI2" s="77"/>
      <c r="AK2" s="6"/>
    </row>
    <row r="3" spans="1:37" ht="15" customHeight="1">
      <c r="A3" s="12" t="s">
        <v>16</v>
      </c>
      <c r="B3" s="1694" t="s">
        <v>269</v>
      </c>
      <c r="C3" s="1694"/>
      <c r="D3" s="1694"/>
      <c r="E3" s="1694"/>
      <c r="F3" s="1694"/>
      <c r="G3" s="1694"/>
      <c r="H3" s="1694"/>
      <c r="I3" s="877"/>
      <c r="K3" s="1800" t="s">
        <v>1621</v>
      </c>
      <c r="L3" s="1800"/>
      <c r="O3" s="12" t="s">
        <v>16</v>
      </c>
      <c r="P3" s="1694" t="s">
        <v>269</v>
      </c>
      <c r="Q3" s="1694"/>
      <c r="R3" s="1694"/>
      <c r="S3" s="1694"/>
      <c r="T3" s="1694"/>
    </row>
    <row r="4" spans="1:37" ht="12.95" customHeight="1" thickBot="1">
      <c r="B4" s="202"/>
      <c r="C4" s="879"/>
      <c r="D4" s="202"/>
      <c r="E4" s="202"/>
      <c r="F4" s="202"/>
      <c r="G4" s="879"/>
      <c r="H4" s="202"/>
      <c r="I4" s="879"/>
      <c r="K4" s="1800"/>
      <c r="L4" s="1800"/>
      <c r="P4" s="202"/>
      <c r="Q4" s="202"/>
      <c r="R4" s="202"/>
      <c r="S4" s="202"/>
      <c r="T4" s="202"/>
    </row>
    <row r="5" spans="1:37" ht="18" customHeight="1" thickTop="1" thickBot="1">
      <c r="B5" s="1613"/>
      <c r="C5" s="1615"/>
      <c r="D5" s="1780" t="s">
        <v>244</v>
      </c>
      <c r="E5" s="1781"/>
      <c r="F5" s="1613" t="s">
        <v>161</v>
      </c>
      <c r="G5" s="1615"/>
      <c r="H5" s="1613"/>
      <c r="I5" s="1615"/>
      <c r="K5" s="1800"/>
      <c r="L5" s="1800"/>
      <c r="P5" s="45"/>
      <c r="Q5" s="1780" t="s">
        <v>244</v>
      </c>
      <c r="R5" s="1781"/>
      <c r="S5" s="314" t="s">
        <v>161</v>
      </c>
      <c r="T5" s="314"/>
    </row>
    <row r="6" spans="1:37" ht="18" customHeight="1" thickTop="1" thickBot="1">
      <c r="B6" s="1629" t="s">
        <v>98</v>
      </c>
      <c r="C6" s="1630"/>
      <c r="D6" s="51" t="s">
        <v>163</v>
      </c>
      <c r="E6" s="317" t="s">
        <v>164</v>
      </c>
      <c r="F6" s="1629" t="s">
        <v>165</v>
      </c>
      <c r="G6" s="1630"/>
      <c r="H6" s="1629" t="s">
        <v>121</v>
      </c>
      <c r="I6" s="1630"/>
      <c r="K6" s="1800"/>
      <c r="L6" s="1800"/>
      <c r="P6" s="50" t="s">
        <v>98</v>
      </c>
      <c r="Q6" s="51" t="s">
        <v>163</v>
      </c>
      <c r="R6" s="317" t="s">
        <v>164</v>
      </c>
      <c r="S6" s="317" t="s">
        <v>165</v>
      </c>
      <c r="T6" s="317" t="s">
        <v>121</v>
      </c>
    </row>
    <row r="7" spans="1:37" ht="18" customHeight="1" thickTop="1" thickBot="1">
      <c r="B7" s="2028" t="s">
        <v>2379</v>
      </c>
      <c r="C7" s="2029"/>
      <c r="D7" s="891">
        <f>+'FORM 1040-11'!F44*12</f>
        <v>0</v>
      </c>
      <c r="E7" s="1213">
        <f>+'FORM 1040-11'!I44*12</f>
        <v>0</v>
      </c>
      <c r="F7" s="2017">
        <f>+'FORM 1040-11'!F48*12</f>
        <v>0</v>
      </c>
      <c r="G7" s="2018"/>
      <c r="H7" s="2017">
        <f>SUM(D7:F7)</f>
        <v>0</v>
      </c>
      <c r="I7" s="2018"/>
      <c r="K7" s="2035" t="s">
        <v>2499</v>
      </c>
      <c r="L7" s="2036"/>
      <c r="P7" s="367" t="s">
        <v>786</v>
      </c>
      <c r="Q7" s="368"/>
      <c r="R7" s="369"/>
      <c r="S7" s="368"/>
      <c r="T7" s="370"/>
    </row>
    <row r="8" spans="1:37" ht="18" customHeight="1" thickTop="1" thickBot="1">
      <c r="B8" s="2028" t="s">
        <v>245</v>
      </c>
      <c r="C8" s="2029"/>
      <c r="D8" s="1214">
        <f>+D7*D9</f>
        <v>0</v>
      </c>
      <c r="E8" s="1214">
        <f>+E7*E9</f>
        <v>0</v>
      </c>
      <c r="F8" s="2017">
        <f>+F7*F9</f>
        <v>0</v>
      </c>
      <c r="G8" s="2018"/>
      <c r="H8" s="2017">
        <f>SUM(D8:F8)</f>
        <v>0</v>
      </c>
      <c r="I8" s="2018"/>
      <c r="K8" s="2037"/>
      <c r="L8" s="2038"/>
      <c r="P8" s="9" t="s">
        <v>245</v>
      </c>
      <c r="Q8" s="136">
        <f>IF(D8="","",(D8))</f>
        <v>0</v>
      </c>
      <c r="R8" s="149"/>
      <c r="S8" s="149"/>
      <c r="T8" s="370"/>
    </row>
    <row r="9" spans="1:37" ht="18" customHeight="1" thickTop="1" thickBot="1">
      <c r="B9" s="1777" t="s">
        <v>0</v>
      </c>
      <c r="C9" s="1779"/>
      <c r="D9" s="371"/>
      <c r="E9" s="372"/>
      <c r="F9" s="2026"/>
      <c r="G9" s="2027"/>
      <c r="H9" s="2024" t="s">
        <v>153</v>
      </c>
      <c r="I9" s="2025"/>
      <c r="K9" s="2037"/>
      <c r="L9" s="2038"/>
      <c r="P9" s="343" t="s">
        <v>0</v>
      </c>
      <c r="Q9" s="374"/>
      <c r="R9" s="375"/>
      <c r="S9" s="374"/>
      <c r="T9" s="373" t="s">
        <v>153</v>
      </c>
    </row>
    <row r="10" spans="1:37" ht="18" customHeight="1" thickTop="1" thickBot="1">
      <c r="B10" s="2028" t="s">
        <v>246</v>
      </c>
      <c r="C10" s="2029"/>
      <c r="D10" s="1214">
        <f>+D7-D8</f>
        <v>0</v>
      </c>
      <c r="E10" s="1214">
        <f>+E7-E8</f>
        <v>0</v>
      </c>
      <c r="F10" s="2017">
        <f>+F7-F8</f>
        <v>0</v>
      </c>
      <c r="G10" s="2018"/>
      <c r="H10" s="2017">
        <f>SUM(D10:F10)</f>
        <v>0</v>
      </c>
      <c r="I10" s="2018"/>
      <c r="K10" s="1357" t="s">
        <v>2496</v>
      </c>
      <c r="L10" s="1494"/>
      <c r="P10" s="9" t="s">
        <v>246</v>
      </c>
      <c r="Q10" s="149"/>
      <c r="R10" s="149"/>
      <c r="S10" s="149"/>
      <c r="T10" s="370"/>
    </row>
    <row r="11" spans="1:37" ht="18" customHeight="1" thickTop="1" thickBot="1">
      <c r="B11" s="2028" t="s">
        <v>247</v>
      </c>
      <c r="C11" s="2029"/>
      <c r="D11" s="135" t="s">
        <v>153</v>
      </c>
      <c r="E11" s="184" t="s">
        <v>153</v>
      </c>
      <c r="F11" s="2024" t="s">
        <v>153</v>
      </c>
      <c r="G11" s="2025"/>
      <c r="H11" s="2024" t="s">
        <v>153</v>
      </c>
      <c r="I11" s="2025"/>
      <c r="K11" s="1357" t="s">
        <v>2497</v>
      </c>
      <c r="L11" s="1495"/>
      <c r="P11" s="9" t="s">
        <v>247</v>
      </c>
      <c r="Q11" s="135" t="s">
        <v>153</v>
      </c>
      <c r="R11" s="184" t="s">
        <v>153</v>
      </c>
      <c r="S11" s="135" t="s">
        <v>153</v>
      </c>
      <c r="T11" s="373" t="s">
        <v>153</v>
      </c>
    </row>
    <row r="12" spans="1:37" ht="18" customHeight="1" thickTop="1" thickBot="1">
      <c r="B12" s="1659"/>
      <c r="C12" s="1660"/>
      <c r="D12" s="1215"/>
      <c r="E12" s="1216"/>
      <c r="F12" s="2039"/>
      <c r="G12" s="2040"/>
      <c r="H12" s="2017">
        <f>SUM(D12:F12)</f>
        <v>0</v>
      </c>
      <c r="I12" s="2018"/>
      <c r="K12" s="1360" t="s">
        <v>2498</v>
      </c>
      <c r="L12" s="1496"/>
      <c r="P12" s="376"/>
      <c r="Q12" s="374"/>
      <c r="R12" s="377"/>
      <c r="S12" s="378"/>
      <c r="T12" s="370"/>
      <c r="X12" s="4" t="s">
        <v>717</v>
      </c>
    </row>
    <row r="13" spans="1:37" ht="18" customHeight="1" thickTop="1" thickBot="1">
      <c r="B13" s="2028" t="s">
        <v>248</v>
      </c>
      <c r="C13" s="2029"/>
      <c r="D13" s="1217">
        <f>+D10+D12</f>
        <v>0</v>
      </c>
      <c r="E13" s="1217">
        <f>+E10+E12</f>
        <v>0</v>
      </c>
      <c r="F13" s="2017">
        <f>+F10+F12</f>
        <v>0</v>
      </c>
      <c r="G13" s="2018"/>
      <c r="H13" s="2017">
        <f>SUM(D13:F13)</f>
        <v>0</v>
      </c>
      <c r="I13" s="2018"/>
      <c r="P13" s="9" t="s">
        <v>248</v>
      </c>
      <c r="Q13" s="380">
        <f>IF(D13="","",(D13))</f>
        <v>0</v>
      </c>
      <c r="R13" s="151"/>
      <c r="S13" s="151"/>
      <c r="T13" s="379"/>
      <c r="X13" s="381">
        <f>+E13+F13</f>
        <v>0</v>
      </c>
      <c r="Y13" s="4" t="s">
        <v>726</v>
      </c>
    </row>
    <row r="14" spans="1:37" ht="6" customHeight="1" thickTop="1" thickBot="1">
      <c r="A14" s="202"/>
      <c r="B14" s="117"/>
      <c r="C14" s="885"/>
      <c r="D14" s="344"/>
      <c r="E14" s="344"/>
      <c r="F14" s="344"/>
      <c r="G14" s="344"/>
      <c r="H14" s="344"/>
      <c r="I14" s="344"/>
      <c r="O14" s="202"/>
      <c r="P14" s="117"/>
      <c r="Q14" s="344"/>
      <c r="R14" s="344"/>
      <c r="S14" s="344"/>
      <c r="T14" s="344"/>
      <c r="X14" s="381">
        <f>+E8+F8</f>
        <v>0</v>
      </c>
      <c r="Y14" s="4" t="s">
        <v>727</v>
      </c>
    </row>
    <row r="15" spans="1:37" ht="18" customHeight="1" thickTop="1" thickBot="1">
      <c r="A15" s="202"/>
      <c r="B15" s="2030" t="s">
        <v>98</v>
      </c>
      <c r="C15" s="2031"/>
      <c r="D15" s="2031"/>
      <c r="E15" s="2031"/>
      <c r="F15" s="2031"/>
      <c r="G15" s="2032"/>
      <c r="H15" s="2033" t="s">
        <v>121</v>
      </c>
      <c r="I15" s="2034"/>
      <c r="O15" s="202"/>
      <c r="P15" s="2030" t="s">
        <v>785</v>
      </c>
      <c r="Q15" s="2031"/>
      <c r="R15" s="2031"/>
      <c r="S15" s="2032"/>
      <c r="T15" s="340" t="s">
        <v>121</v>
      </c>
      <c r="X15" s="381">
        <f>(+E12+F12)/12</f>
        <v>0</v>
      </c>
      <c r="Y15" s="4" t="s">
        <v>728</v>
      </c>
    </row>
    <row r="16" spans="1:37" ht="18" customHeight="1" thickTop="1" thickBot="1">
      <c r="A16" s="202"/>
      <c r="B16" s="1941" t="s">
        <v>998</v>
      </c>
      <c r="C16" s="1942"/>
      <c r="D16" s="1942"/>
      <c r="E16" s="1942"/>
      <c r="F16" s="1942"/>
      <c r="G16" s="2021"/>
      <c r="H16" s="2017">
        <f>+'FORM 1040-12'!H33</f>
        <v>0</v>
      </c>
      <c r="I16" s="2018"/>
      <c r="O16" s="202"/>
      <c r="P16" s="1941" t="s">
        <v>249</v>
      </c>
      <c r="Q16" s="1943"/>
      <c r="R16" s="1943"/>
      <c r="S16" s="1944"/>
      <c r="T16" s="368"/>
      <c r="X16" s="105" t="s">
        <v>729</v>
      </c>
    </row>
    <row r="17" spans="1:37" s="8" customFormat="1" ht="6" customHeight="1" thickTop="1" thickBot="1">
      <c r="A17" s="21"/>
      <c r="B17" s="21"/>
      <c r="C17" s="885"/>
      <c r="D17" s="21"/>
      <c r="E17" s="21"/>
      <c r="F17" s="21"/>
      <c r="G17" s="885"/>
      <c r="H17" s="344"/>
      <c r="I17" s="344"/>
      <c r="K17" s="1400"/>
      <c r="L17" s="1400"/>
      <c r="M17" s="1400"/>
      <c r="N17" s="27"/>
      <c r="O17" s="21"/>
      <c r="P17" s="21"/>
      <c r="Q17" s="21"/>
      <c r="R17" s="21"/>
      <c r="S17" s="21"/>
      <c r="T17" s="344"/>
      <c r="X17" s="382">
        <f>+D12/12</f>
        <v>0</v>
      </c>
      <c r="Y17" s="8" t="s">
        <v>728</v>
      </c>
      <c r="AI17" s="1435"/>
      <c r="AK17" s="27"/>
    </row>
    <row r="18" spans="1:37" ht="18" customHeight="1" thickTop="1" thickBot="1">
      <c r="A18" s="202"/>
      <c r="B18" s="1941" t="s">
        <v>250</v>
      </c>
      <c r="C18" s="1942"/>
      <c r="D18" s="1942"/>
      <c r="E18" s="1942"/>
      <c r="F18" s="1942"/>
      <c r="G18" s="2021"/>
      <c r="H18" s="2017">
        <f>+H13-H16</f>
        <v>0</v>
      </c>
      <c r="I18" s="2018"/>
      <c r="O18" s="202"/>
      <c r="P18" s="1941" t="s">
        <v>250</v>
      </c>
      <c r="Q18" s="1943"/>
      <c r="R18" s="1943"/>
      <c r="S18" s="1944"/>
      <c r="T18" s="383"/>
      <c r="X18" s="161"/>
    </row>
    <row r="19" spans="1:37" ht="6" customHeight="1" thickTop="1" thickBot="1">
      <c r="A19" s="21"/>
      <c r="B19" s="21"/>
      <c r="C19" s="885"/>
      <c r="D19" s="21"/>
      <c r="E19" s="21"/>
      <c r="F19" s="21"/>
      <c r="G19" s="885"/>
      <c r="H19" s="344"/>
      <c r="I19" s="344"/>
      <c r="O19" s="21"/>
      <c r="P19" s="21"/>
      <c r="Q19" s="21"/>
      <c r="R19" s="21"/>
      <c r="S19" s="21"/>
      <c r="T19" s="344"/>
      <c r="X19" s="356"/>
    </row>
    <row r="20" spans="1:37" ht="18" customHeight="1" thickTop="1" thickBot="1">
      <c r="A20" s="202"/>
      <c r="B20" s="1777" t="s">
        <v>251</v>
      </c>
      <c r="C20" s="1778"/>
      <c r="D20" s="1778"/>
      <c r="E20" s="1778"/>
      <c r="F20" s="1778"/>
      <c r="G20" s="1779"/>
      <c r="H20" s="2022"/>
      <c r="I20" s="2023"/>
      <c r="O20" s="202"/>
      <c r="P20" s="1777" t="s">
        <v>251</v>
      </c>
      <c r="Q20" s="1778"/>
      <c r="R20" s="1778"/>
      <c r="S20" s="1779"/>
      <c r="T20" s="384" t="str">
        <f>IF(H20="","",(H20))</f>
        <v/>
      </c>
      <c r="X20" s="161"/>
    </row>
    <row r="21" spans="1:37" ht="18" customHeight="1" thickTop="1" thickBot="1">
      <c r="A21" s="202"/>
      <c r="B21" s="1777" t="s">
        <v>2383</v>
      </c>
      <c r="C21" s="1778"/>
      <c r="D21" s="1778"/>
      <c r="E21" s="1778"/>
      <c r="F21" s="1778"/>
      <c r="G21" s="1779"/>
      <c r="H21" s="2022"/>
      <c r="I21" s="2023"/>
      <c r="O21" s="202"/>
      <c r="P21" s="1777" t="s">
        <v>961</v>
      </c>
      <c r="Q21" s="1857"/>
      <c r="R21" s="1857"/>
      <c r="S21" s="1858"/>
      <c r="T21" s="385" t="str">
        <f>IF(H21="","",(H21))</f>
        <v/>
      </c>
      <c r="X21" s="161"/>
    </row>
    <row r="22" spans="1:37" s="1397" customFormat="1" ht="18" customHeight="1" thickTop="1" thickBot="1">
      <c r="A22" s="1399"/>
      <c r="B22" s="1777" t="s">
        <v>2495</v>
      </c>
      <c r="C22" s="1778"/>
      <c r="D22" s="1778"/>
      <c r="E22" s="1778"/>
      <c r="F22" s="1778"/>
      <c r="G22" s="1779"/>
      <c r="H22" s="2017">
        <f>IF(L10&gt;0,AH66,0)</f>
        <v>0</v>
      </c>
      <c r="I22" s="2018"/>
      <c r="N22" s="6"/>
      <c r="O22" s="1399"/>
      <c r="P22" s="1403"/>
      <c r="Q22" s="1404"/>
      <c r="R22" s="1404"/>
      <c r="S22" s="1405"/>
      <c r="T22" s="1428">
        <f>IF(H22="","",(H22))</f>
        <v>0</v>
      </c>
      <c r="X22" s="161"/>
      <c r="AI22" s="77"/>
      <c r="AK22" s="6"/>
    </row>
    <row r="23" spans="1:37" s="1041" customFormat="1" ht="18" customHeight="1" thickTop="1" thickBot="1">
      <c r="A23" s="1045"/>
      <c r="B23" s="1941" t="s">
        <v>2493</v>
      </c>
      <c r="C23" s="1942"/>
      <c r="D23" s="1431" t="s">
        <v>2494</v>
      </c>
      <c r="E23" s="1650"/>
      <c r="F23" s="1650"/>
      <c r="G23" s="1660"/>
      <c r="H23" s="2022"/>
      <c r="I23" s="2023"/>
      <c r="K23" s="1397"/>
      <c r="L23" s="1397"/>
      <c r="M23" s="1397"/>
      <c r="N23" s="6"/>
      <c r="O23" s="1045"/>
      <c r="P23" s="1777" t="s">
        <v>2187</v>
      </c>
      <c r="Q23" s="1857"/>
      <c r="R23" s="1857"/>
      <c r="S23" s="1858"/>
      <c r="T23" s="1429" t="str">
        <f>IF(H23="","",(H23))</f>
        <v/>
      </c>
      <c r="X23" s="1430">
        <f>IF(ISERROR(+T22+T23),0,+T22+T23)</f>
        <v>0</v>
      </c>
      <c r="Y23" s="1041" t="s">
        <v>2492</v>
      </c>
      <c r="AI23" s="77"/>
      <c r="AK23" s="6"/>
    </row>
    <row r="24" spans="1:37" ht="18" customHeight="1" thickTop="1" thickBot="1">
      <c r="A24" s="202"/>
      <c r="B24" s="1777" t="s">
        <v>2435</v>
      </c>
      <c r="C24" s="1778"/>
      <c r="D24" s="1778"/>
      <c r="E24" s="1778"/>
      <c r="F24" s="1778"/>
      <c r="G24" s="1779"/>
      <c r="H24" s="2017">
        <f>+'FORM 1040-8'!R50</f>
        <v>0</v>
      </c>
      <c r="I24" s="2018"/>
      <c r="O24" s="202"/>
      <c r="P24" s="1777" t="s">
        <v>2435</v>
      </c>
      <c r="Q24" s="1778"/>
      <c r="R24" s="1778"/>
      <c r="S24" s="1779"/>
      <c r="T24" s="386"/>
      <c r="X24" s="161"/>
    </row>
    <row r="25" spans="1:37" ht="18" customHeight="1" thickTop="1" thickBot="1">
      <c r="A25" s="202"/>
      <c r="B25" s="1941" t="s">
        <v>718</v>
      </c>
      <c r="C25" s="1942"/>
      <c r="D25" s="1942"/>
      <c r="E25" s="1942"/>
      <c r="F25" s="1942"/>
      <c r="G25" s="2021"/>
      <c r="H25" s="2017">
        <f>+H18-H20-H21-H22-H23-H24</f>
        <v>0</v>
      </c>
      <c r="I25" s="2018"/>
      <c r="O25" s="202"/>
      <c r="P25" s="1941" t="s">
        <v>718</v>
      </c>
      <c r="Q25" s="1943"/>
      <c r="R25" s="1943"/>
      <c r="S25" s="1944"/>
      <c r="T25" s="383"/>
      <c r="X25" s="161"/>
    </row>
    <row r="26" spans="1:37" ht="6" customHeight="1" thickTop="1" thickBot="1">
      <c r="A26" s="202"/>
      <c r="B26" s="21"/>
      <c r="C26" s="885"/>
      <c r="D26" s="21"/>
      <c r="E26" s="21"/>
      <c r="F26" s="21"/>
      <c r="G26" s="885"/>
      <c r="H26" s="344"/>
      <c r="I26" s="344"/>
      <c r="O26" s="202"/>
      <c r="P26" s="21"/>
      <c r="Q26" s="21"/>
      <c r="R26" s="21"/>
      <c r="S26" s="21"/>
      <c r="T26" s="344"/>
      <c r="X26" s="108"/>
    </row>
    <row r="27" spans="1:37" ht="27" customHeight="1" thickTop="1" thickBot="1">
      <c r="A27" s="202"/>
      <c r="B27" s="2012" t="s">
        <v>720</v>
      </c>
      <c r="C27" s="2019"/>
      <c r="D27" s="2019"/>
      <c r="E27" s="2019"/>
      <c r="F27" s="2019"/>
      <c r="G27" s="2020"/>
      <c r="H27" s="2015">
        <f>IF(ISERROR(1+H25/H24),0,1+H25/H24)</f>
        <v>0</v>
      </c>
      <c r="I27" s="2016"/>
      <c r="O27" s="202"/>
      <c r="P27" s="2012" t="s">
        <v>720</v>
      </c>
      <c r="Q27" s="2013"/>
      <c r="R27" s="2013"/>
      <c r="S27" s="2014"/>
      <c r="T27" s="387"/>
      <c r="X27" s="388"/>
    </row>
    <row r="28" spans="1:37" ht="18" customHeight="1" thickTop="1" thickBot="1">
      <c r="A28" s="202"/>
      <c r="B28" s="2012" t="s">
        <v>2380</v>
      </c>
      <c r="C28" s="2019"/>
      <c r="D28" s="2019"/>
      <c r="E28" s="2019"/>
      <c r="F28" s="2019"/>
      <c r="G28" s="2020"/>
      <c r="H28" s="2017">
        <f>IF(ISERROR(+H25/'FORM 1040-2'!C42),0,+H25/'FORM 1040-2'!C42)</f>
        <v>0</v>
      </c>
      <c r="I28" s="2018"/>
      <c r="O28" s="202"/>
      <c r="P28" s="2012" t="s">
        <v>1957</v>
      </c>
      <c r="Q28" s="2013"/>
      <c r="R28" s="2013"/>
      <c r="S28" s="2014"/>
      <c r="T28" s="891"/>
    </row>
    <row r="29" spans="1:37" s="878" customFormat="1" ht="6" customHeight="1" thickTop="1" thickBot="1">
      <c r="A29" s="879"/>
      <c r="B29" s="879"/>
      <c r="C29" s="879"/>
      <c r="D29" s="879"/>
      <c r="E29" s="879"/>
      <c r="F29" s="879"/>
      <c r="G29" s="879"/>
      <c r="H29" s="879"/>
      <c r="I29" s="879"/>
      <c r="K29" s="1397"/>
      <c r="L29" s="1397"/>
      <c r="M29" s="1397"/>
      <c r="N29" s="6"/>
      <c r="O29" s="879"/>
      <c r="P29" s="879"/>
      <c r="Q29" s="879"/>
      <c r="R29" s="879"/>
      <c r="S29" s="879"/>
      <c r="T29" s="879"/>
      <c r="AI29" s="77"/>
      <c r="AK29" s="6"/>
    </row>
    <row r="30" spans="1:37" ht="18" customHeight="1" thickTop="1" thickBot="1">
      <c r="A30" s="202"/>
      <c r="B30" s="1941" t="s">
        <v>718</v>
      </c>
      <c r="C30" s="1942"/>
      <c r="D30" s="1942"/>
      <c r="E30" s="1942"/>
      <c r="F30" s="1942"/>
      <c r="G30" s="2021"/>
      <c r="H30" s="2017">
        <f>+H25</f>
        <v>0</v>
      </c>
      <c r="I30" s="2018"/>
      <c r="O30" s="202"/>
      <c r="P30" s="1941" t="s">
        <v>718</v>
      </c>
      <c r="Q30" s="1943"/>
      <c r="R30" s="1943"/>
      <c r="S30" s="1944"/>
      <c r="T30" s="368"/>
      <c r="X30" s="161"/>
    </row>
    <row r="31" spans="1:37" ht="18" customHeight="1" thickTop="1" thickBot="1">
      <c r="A31" s="202"/>
      <c r="B31" s="1941" t="s">
        <v>1970</v>
      </c>
      <c r="C31" s="1942"/>
      <c r="D31" s="1942"/>
      <c r="E31" s="1942"/>
      <c r="F31" s="1942"/>
      <c r="G31" s="2021"/>
      <c r="H31" s="2022"/>
      <c r="I31" s="2023"/>
      <c r="O31" s="202"/>
      <c r="P31" s="1941" t="s">
        <v>2723</v>
      </c>
      <c r="Q31" s="1943"/>
      <c r="R31" s="1943"/>
      <c r="S31" s="1944"/>
      <c r="T31" s="389"/>
    </row>
    <row r="32" spans="1:37" ht="18" customHeight="1" thickTop="1" thickBot="1">
      <c r="A32" s="202"/>
      <c r="B32" s="1941" t="s">
        <v>719</v>
      </c>
      <c r="C32" s="1942"/>
      <c r="D32" s="1942"/>
      <c r="E32" s="1942"/>
      <c r="F32" s="1942"/>
      <c r="G32" s="2021"/>
      <c r="H32" s="2017">
        <f>+H25-H31</f>
        <v>0</v>
      </c>
      <c r="I32" s="2018"/>
      <c r="O32" s="202"/>
      <c r="P32" s="1941" t="s">
        <v>719</v>
      </c>
      <c r="Q32" s="1943"/>
      <c r="R32" s="1943"/>
      <c r="S32" s="1944"/>
      <c r="T32" s="383"/>
    </row>
    <row r="33" spans="1:40" ht="6" customHeight="1" thickTop="1" thickBot="1">
      <c r="A33" s="202"/>
      <c r="B33" s="21"/>
      <c r="C33" s="885"/>
      <c r="D33" s="21"/>
      <c r="E33" s="21"/>
      <c r="F33" s="21"/>
      <c r="G33" s="885"/>
      <c r="H33" s="344"/>
      <c r="I33" s="344"/>
      <c r="O33" s="202"/>
      <c r="P33" s="21"/>
      <c r="Q33" s="21"/>
      <c r="R33" s="21"/>
      <c r="S33" s="21"/>
      <c r="T33" s="344"/>
    </row>
    <row r="34" spans="1:40" ht="27" customHeight="1" thickTop="1" thickBot="1">
      <c r="A34" s="202"/>
      <c r="B34" s="2012" t="s">
        <v>721</v>
      </c>
      <c r="C34" s="2019"/>
      <c r="D34" s="2019"/>
      <c r="E34" s="2019"/>
      <c r="F34" s="2019"/>
      <c r="G34" s="2020"/>
      <c r="H34" s="2015">
        <f>IF(ISERROR(1+H32/H24),0,1+H32/H24)</f>
        <v>0</v>
      </c>
      <c r="I34" s="2016"/>
      <c r="O34" s="202"/>
      <c r="P34" s="2012" t="s">
        <v>721</v>
      </c>
      <c r="Q34" s="2013"/>
      <c r="R34" s="2013"/>
      <c r="S34" s="2014"/>
      <c r="T34" s="387"/>
    </row>
    <row r="35" spans="1:40" s="878" customFormat="1" ht="18" customHeight="1" thickTop="1" thickBot="1">
      <c r="A35" s="879"/>
      <c r="B35" s="2012" t="s">
        <v>2381</v>
      </c>
      <c r="C35" s="2019"/>
      <c r="D35" s="2019"/>
      <c r="E35" s="2019"/>
      <c r="F35" s="2019"/>
      <c r="G35" s="2020"/>
      <c r="H35" s="2017">
        <f>IF(ISERROR(+H32/'FORM 1040-2'!C42),0,+H32/'FORM 1040-2'!C42)</f>
        <v>0</v>
      </c>
      <c r="I35" s="2018"/>
      <c r="K35" s="1397"/>
      <c r="L35" s="1397"/>
      <c r="M35" s="1397"/>
      <c r="N35" s="6"/>
      <c r="O35" s="879"/>
      <c r="P35" s="2012" t="s">
        <v>1957</v>
      </c>
      <c r="Q35" s="2013"/>
      <c r="R35" s="2013"/>
      <c r="S35" s="2014"/>
      <c r="T35" s="891"/>
      <c r="AI35" s="77"/>
      <c r="AK35" s="6"/>
    </row>
    <row r="36" spans="1:40" s="878" customFormat="1" ht="14.25" thickTop="1" thickBot="1">
      <c r="A36" s="876"/>
      <c r="K36" s="1397"/>
      <c r="L36" s="1397"/>
      <c r="M36" s="1397"/>
      <c r="N36" s="6"/>
      <c r="O36" s="876"/>
      <c r="AI36" s="77"/>
      <c r="AK36" s="6"/>
    </row>
    <row r="37" spans="1:40" s="878" customFormat="1" ht="30" customHeight="1" thickTop="1" thickBot="1">
      <c r="A37" s="876"/>
      <c r="B37" s="880" t="s">
        <v>1958</v>
      </c>
      <c r="C37" s="1780" t="s">
        <v>1966</v>
      </c>
      <c r="D37" s="1843"/>
      <c r="E37" s="1843"/>
      <c r="F37" s="1781"/>
      <c r="G37" s="1764" t="s">
        <v>1968</v>
      </c>
      <c r="H37" s="2006"/>
      <c r="I37" s="889" t="s">
        <v>1967</v>
      </c>
      <c r="K37" s="1397"/>
      <c r="L37" s="1397"/>
      <c r="M37" s="1397"/>
      <c r="N37" s="6"/>
      <c r="O37" s="876"/>
      <c r="AI37" s="77"/>
      <c r="AK37" s="6"/>
    </row>
    <row r="38" spans="1:40" s="878" customFormat="1" ht="18" customHeight="1" thickTop="1" thickBot="1">
      <c r="A38" s="876"/>
      <c r="B38" s="881" t="s">
        <v>1959</v>
      </c>
      <c r="C38" s="2009"/>
      <c r="D38" s="2010"/>
      <c r="E38" s="2010"/>
      <c r="F38" s="2011"/>
      <c r="G38" s="2007"/>
      <c r="H38" s="2008"/>
      <c r="I38" s="450"/>
      <c r="K38" s="1397"/>
      <c r="L38" s="1397"/>
      <c r="M38" s="1397"/>
      <c r="N38" s="6"/>
      <c r="O38" s="876"/>
      <c r="AI38" s="77"/>
      <c r="AK38" s="6"/>
    </row>
    <row r="39" spans="1:40" s="878" customFormat="1" ht="18" customHeight="1" thickTop="1" thickBot="1">
      <c r="A39" s="876"/>
      <c r="B39" s="883" t="s">
        <v>1960</v>
      </c>
      <c r="C39" s="2009"/>
      <c r="D39" s="2010"/>
      <c r="E39" s="2010"/>
      <c r="F39" s="2011"/>
      <c r="G39" s="2007"/>
      <c r="H39" s="2008"/>
      <c r="I39" s="450"/>
      <c r="K39" s="1397"/>
      <c r="L39" s="1397"/>
      <c r="M39" s="1397"/>
      <c r="N39" s="6"/>
      <c r="O39" s="876"/>
      <c r="AI39" s="77"/>
      <c r="AK39" s="6"/>
    </row>
    <row r="40" spans="1:40" s="878" customFormat="1" ht="18" customHeight="1" thickTop="1" thickBot="1">
      <c r="A40" s="876"/>
      <c r="B40" s="883" t="s">
        <v>1961</v>
      </c>
      <c r="C40" s="2009"/>
      <c r="D40" s="2010"/>
      <c r="E40" s="2010"/>
      <c r="F40" s="2011"/>
      <c r="G40" s="2007"/>
      <c r="H40" s="2008"/>
      <c r="I40" s="450"/>
      <c r="K40" s="1397"/>
      <c r="L40" s="1397"/>
      <c r="M40" s="1397"/>
      <c r="N40" s="6"/>
      <c r="O40" s="876"/>
      <c r="AI40" s="77"/>
      <c r="AK40" s="6"/>
    </row>
    <row r="41" spans="1:40" s="878" customFormat="1" ht="18" customHeight="1" thickTop="1" thickBot="1">
      <c r="A41" s="876"/>
      <c r="B41" s="883" t="s">
        <v>1962</v>
      </c>
      <c r="C41" s="2009"/>
      <c r="D41" s="2010"/>
      <c r="E41" s="2010"/>
      <c r="F41" s="2011"/>
      <c r="G41" s="2007"/>
      <c r="H41" s="2008"/>
      <c r="I41" s="450"/>
      <c r="K41" s="1397"/>
      <c r="L41" s="1397"/>
      <c r="M41" s="1397"/>
      <c r="N41" s="6"/>
      <c r="O41" s="876"/>
      <c r="AI41" s="77"/>
      <c r="AK41" s="6"/>
    </row>
    <row r="42" spans="1:40" s="878" customFormat="1" ht="18" customHeight="1" thickTop="1" thickBot="1">
      <c r="A42" s="876"/>
      <c r="B42" s="883" t="s">
        <v>1963</v>
      </c>
      <c r="C42" s="2009"/>
      <c r="D42" s="2010"/>
      <c r="E42" s="2010"/>
      <c r="F42" s="2011"/>
      <c r="G42" s="2007"/>
      <c r="H42" s="2008"/>
      <c r="I42" s="450"/>
      <c r="K42" s="1397"/>
      <c r="L42" s="1397"/>
      <c r="M42" s="1397"/>
      <c r="N42" s="6"/>
      <c r="O42" s="876"/>
      <c r="AI42" s="77"/>
      <c r="AK42" s="6"/>
    </row>
    <row r="43" spans="1:40" s="878" customFormat="1" ht="18" customHeight="1" thickTop="1" thickBot="1">
      <c r="A43" s="876"/>
      <c r="B43" s="883" t="s">
        <v>1964</v>
      </c>
      <c r="C43" s="2009"/>
      <c r="D43" s="2010"/>
      <c r="E43" s="2010"/>
      <c r="F43" s="2011"/>
      <c r="G43" s="2007"/>
      <c r="H43" s="2008"/>
      <c r="I43" s="450"/>
      <c r="K43" s="1397"/>
      <c r="L43" s="1397"/>
      <c r="M43" s="1397"/>
      <c r="N43" s="6"/>
      <c r="O43" s="876"/>
      <c r="P43" s="108"/>
      <c r="Q43" s="108"/>
      <c r="R43" s="108"/>
      <c r="AI43" s="77"/>
      <c r="AK43" s="6"/>
    </row>
    <row r="44" spans="1:40" s="878" customFormat="1" ht="18" customHeight="1" thickTop="1" thickBot="1">
      <c r="A44" s="876"/>
      <c r="B44" s="883" t="s">
        <v>1965</v>
      </c>
      <c r="C44" s="2009"/>
      <c r="D44" s="2010"/>
      <c r="E44" s="2010"/>
      <c r="F44" s="2011"/>
      <c r="G44" s="2007"/>
      <c r="H44" s="2008"/>
      <c r="I44" s="450"/>
      <c r="K44" s="1397"/>
      <c r="L44" s="1397"/>
      <c r="M44" s="1397"/>
      <c r="N44" s="6"/>
      <c r="O44" s="876"/>
      <c r="P44" s="108"/>
      <c r="Q44" s="108"/>
      <c r="R44" s="108"/>
      <c r="AI44" s="77"/>
      <c r="AK44" s="6"/>
    </row>
    <row r="45" spans="1:40" s="878" customFormat="1" ht="13.5" thickTop="1">
      <c r="A45" s="876"/>
      <c r="K45" s="1397"/>
      <c r="L45" s="1397"/>
      <c r="M45" s="1397"/>
      <c r="N45" s="6"/>
      <c r="O45" s="876"/>
      <c r="P45" s="108"/>
      <c r="Q45" s="108"/>
      <c r="R45" s="108"/>
      <c r="AI45" s="77"/>
      <c r="AK45" s="6"/>
    </row>
    <row r="46" spans="1:40" ht="15" customHeight="1">
      <c r="A46" s="4"/>
      <c r="B46" s="1593" t="s">
        <v>722</v>
      </c>
      <c r="C46" s="1593"/>
      <c r="D46" s="1593"/>
      <c r="E46" s="37"/>
      <c r="H46" s="37"/>
      <c r="I46" s="877"/>
      <c r="O46" s="4"/>
      <c r="P46" s="888"/>
      <c r="Q46" s="888"/>
      <c r="R46" s="888"/>
      <c r="T46" s="37"/>
      <c r="U46" s="37"/>
      <c r="V46" s="37"/>
      <c r="W46" s="37"/>
      <c r="AN46" s="40"/>
    </row>
    <row r="47" spans="1:40" ht="6" customHeight="1">
      <c r="A47" s="4"/>
      <c r="B47" s="202"/>
      <c r="C47" s="879"/>
      <c r="D47" s="202"/>
      <c r="E47" s="202"/>
      <c r="H47" s="202"/>
      <c r="I47" s="879"/>
      <c r="O47" s="4"/>
      <c r="P47" s="884"/>
      <c r="Q47" s="884"/>
      <c r="R47" s="884"/>
      <c r="T47" s="202"/>
      <c r="U47" s="202"/>
      <c r="V47" s="202"/>
      <c r="W47" s="202"/>
      <c r="X47" s="40"/>
      <c r="Y47" s="203"/>
      <c r="AK47" s="390"/>
      <c r="AL47" s="5"/>
      <c r="AM47" s="5"/>
      <c r="AN47" s="40"/>
    </row>
    <row r="48" spans="1:40" ht="15" customHeight="1" thickBot="1">
      <c r="A48" s="4"/>
      <c r="B48" s="1694" t="s">
        <v>232</v>
      </c>
      <c r="C48" s="1694"/>
      <c r="D48" s="391"/>
      <c r="E48" s="1997" t="s">
        <v>724</v>
      </c>
      <c r="F48" s="1997"/>
      <c r="G48" s="1997"/>
      <c r="H48" s="2004"/>
      <c r="I48" s="2004"/>
      <c r="O48" s="4"/>
      <c r="P48" s="888"/>
      <c r="Q48" s="261"/>
      <c r="R48" s="108"/>
      <c r="T48" s="202"/>
      <c r="U48" s="392"/>
      <c r="V48" s="202"/>
      <c r="W48" s="202"/>
      <c r="X48" s="40"/>
      <c r="Y48" s="40"/>
      <c r="AK48" s="393"/>
      <c r="AL48" s="98"/>
      <c r="AM48" s="212"/>
      <c r="AN48" s="40"/>
    </row>
    <row r="49" spans="1:40" ht="6" customHeight="1" thickTop="1">
      <c r="A49" s="4"/>
      <c r="B49" s="37"/>
      <c r="C49" s="877"/>
      <c r="D49" s="394"/>
      <c r="H49" s="202"/>
      <c r="I49" s="879"/>
      <c r="O49" s="4"/>
      <c r="P49" s="888"/>
      <c r="Q49" s="261"/>
      <c r="R49" s="108"/>
      <c r="T49" s="202"/>
      <c r="U49" s="392"/>
      <c r="V49" s="202"/>
      <c r="W49" s="202"/>
      <c r="X49" s="40"/>
      <c r="Y49" s="40"/>
      <c r="AK49" s="393"/>
      <c r="AL49" s="98"/>
      <c r="AM49" s="212"/>
      <c r="AN49" s="40"/>
    </row>
    <row r="50" spans="1:40" ht="15" customHeight="1" thickBot="1">
      <c r="A50" s="4"/>
      <c r="B50" s="1694" t="s">
        <v>233</v>
      </c>
      <c r="C50" s="1694"/>
      <c r="D50" s="1335"/>
      <c r="E50" s="2005" t="s">
        <v>1969</v>
      </c>
      <c r="F50" s="2005"/>
      <c r="G50" s="1605"/>
      <c r="H50" s="1605"/>
      <c r="I50" s="1605"/>
      <c r="O50" s="4"/>
      <c r="P50" s="888"/>
      <c r="Q50" s="261"/>
      <c r="R50" s="108"/>
      <c r="T50" s="202"/>
      <c r="U50" s="392"/>
      <c r="V50" s="202"/>
      <c r="W50" s="202"/>
      <c r="X50" s="40"/>
      <c r="Y50" s="40"/>
      <c r="AK50" s="393"/>
      <c r="AL50" s="98"/>
      <c r="AM50" s="212"/>
      <c r="AN50" s="40"/>
    </row>
    <row r="51" spans="1:40" ht="6" customHeight="1" thickTop="1">
      <c r="A51" s="4"/>
      <c r="B51" s="37"/>
      <c r="C51" s="877"/>
      <c r="D51" s="394"/>
      <c r="H51" s="202"/>
      <c r="I51" s="879"/>
      <c r="O51" s="4"/>
      <c r="P51" s="888"/>
      <c r="Q51" s="261"/>
      <c r="R51" s="108"/>
      <c r="T51" s="202"/>
      <c r="U51" s="392"/>
      <c r="V51" s="202"/>
      <c r="W51" s="202"/>
      <c r="X51" s="40"/>
      <c r="Y51" s="40"/>
      <c r="AK51" s="393"/>
      <c r="AL51" s="98"/>
      <c r="AM51" s="212"/>
      <c r="AN51" s="40"/>
    </row>
    <row r="52" spans="1:40" ht="15" customHeight="1" thickBot="1">
      <c r="A52" s="4"/>
      <c r="B52" s="1694" t="s">
        <v>234</v>
      </c>
      <c r="C52" s="1694"/>
      <c r="D52" s="1335"/>
      <c r="E52" s="1997" t="s">
        <v>725</v>
      </c>
      <c r="F52" s="1997"/>
      <c r="G52" s="1997"/>
      <c r="H52" s="2004"/>
      <c r="I52" s="2004"/>
      <c r="O52" s="4"/>
      <c r="P52" s="888"/>
      <c r="Q52" s="261"/>
      <c r="R52" s="108"/>
      <c r="T52" s="202"/>
      <c r="U52" s="202"/>
      <c r="V52" s="202"/>
      <c r="W52" s="202"/>
      <c r="X52" s="40"/>
      <c r="Y52" s="40"/>
      <c r="AK52" s="393"/>
      <c r="AL52" s="98"/>
      <c r="AM52" s="212"/>
      <c r="AN52" s="40"/>
    </row>
    <row r="53" spans="1:40" ht="6" customHeight="1" thickTop="1">
      <c r="A53" s="4"/>
      <c r="B53" s="37"/>
      <c r="C53" s="877"/>
      <c r="D53" s="394"/>
      <c r="H53" s="879"/>
      <c r="I53" s="879"/>
      <c r="O53" s="4"/>
      <c r="P53" s="888"/>
      <c r="Q53" s="261"/>
      <c r="R53" s="108"/>
      <c r="T53" s="202"/>
      <c r="U53" s="202"/>
      <c r="V53" s="202"/>
      <c r="W53" s="202"/>
      <c r="X53" s="40"/>
      <c r="Y53" s="40"/>
      <c r="AK53" s="393"/>
      <c r="AL53" s="98"/>
      <c r="AM53" s="212"/>
      <c r="AN53" s="40"/>
    </row>
    <row r="54" spans="1:40" ht="15" customHeight="1" thickBot="1">
      <c r="A54" s="4"/>
      <c r="B54" s="1694" t="s">
        <v>235</v>
      </c>
      <c r="C54" s="1694"/>
      <c r="D54" s="1335"/>
      <c r="E54" s="2005" t="s">
        <v>1969</v>
      </c>
      <c r="F54" s="2005"/>
      <c r="G54" s="1605"/>
      <c r="H54" s="1605"/>
      <c r="I54" s="1605"/>
      <c r="O54" s="4"/>
      <c r="P54" s="888"/>
      <c r="Q54" s="261"/>
      <c r="R54" s="108"/>
      <c r="T54" s="202"/>
      <c r="U54" s="202"/>
      <c r="V54" s="202"/>
      <c r="W54" s="202"/>
      <c r="X54" s="40"/>
      <c r="Y54" s="40"/>
      <c r="AK54" s="395"/>
      <c r="AL54" s="98"/>
      <c r="AM54" s="209"/>
      <c r="AN54" s="40"/>
    </row>
    <row r="55" spans="1:40" ht="6" customHeight="1" thickTop="1">
      <c r="A55" s="4"/>
      <c r="B55" s="37"/>
      <c r="C55" s="877"/>
      <c r="D55" s="394"/>
      <c r="E55" s="878"/>
      <c r="F55" s="878"/>
      <c r="H55" s="878"/>
      <c r="O55" s="4"/>
      <c r="P55" s="888"/>
      <c r="Q55" s="261"/>
      <c r="R55" s="108"/>
      <c r="T55" s="202"/>
      <c r="U55" s="202"/>
      <c r="V55" s="202"/>
      <c r="W55" s="202"/>
      <c r="X55" s="40"/>
      <c r="Y55" s="40"/>
      <c r="AK55" s="393"/>
      <c r="AL55" s="98"/>
      <c r="AM55" s="212"/>
      <c r="AN55" s="40"/>
    </row>
    <row r="56" spans="1:40" ht="15" customHeight="1" thickBot="1">
      <c r="A56" s="4"/>
      <c r="B56" s="37" t="s">
        <v>723</v>
      </c>
      <c r="C56" s="877"/>
      <c r="D56" s="391"/>
      <c r="E56" s="1997" t="s">
        <v>2311</v>
      </c>
      <c r="F56" s="1997"/>
      <c r="G56" s="1997"/>
      <c r="H56" s="2004"/>
      <c r="I56" s="2004"/>
      <c r="O56" s="4"/>
      <c r="P56" s="888"/>
      <c r="Q56" s="261"/>
      <c r="R56" s="108"/>
      <c r="T56" s="202"/>
      <c r="U56" s="202"/>
      <c r="V56" s="202"/>
      <c r="W56" s="202"/>
      <c r="X56" s="40"/>
      <c r="Y56" s="40"/>
      <c r="AK56" s="395"/>
      <c r="AL56" s="98"/>
      <c r="AM56" s="209"/>
      <c r="AN56" s="40"/>
    </row>
    <row r="57" spans="1:40" ht="6" customHeight="1" thickTop="1">
      <c r="E57" s="1077"/>
      <c r="F57" s="1077"/>
      <c r="G57" s="1077"/>
      <c r="H57" s="1083"/>
      <c r="I57" s="1083"/>
      <c r="P57" s="108"/>
      <c r="Q57" s="108"/>
      <c r="R57" s="108"/>
    </row>
    <row r="58" spans="1:40" ht="13.5" thickBot="1">
      <c r="E58" s="2005" t="s">
        <v>1969</v>
      </c>
      <c r="F58" s="2005"/>
      <c r="G58" s="1605"/>
      <c r="H58" s="1605"/>
      <c r="I58" s="1605"/>
      <c r="P58" s="108"/>
      <c r="Q58" s="108"/>
      <c r="R58" s="108"/>
    </row>
    <row r="59" spans="1:40" ht="6" customHeight="1" thickTop="1">
      <c r="E59" s="1077"/>
      <c r="F59" s="1077"/>
      <c r="G59" s="1077"/>
      <c r="H59" s="1077"/>
      <c r="I59" s="1077"/>
      <c r="P59" s="108"/>
      <c r="Q59" s="108"/>
      <c r="R59" s="108"/>
    </row>
    <row r="60" spans="1:40">
      <c r="E60" s="1080" t="s">
        <v>1004</v>
      </c>
      <c r="F60" s="1077"/>
      <c r="G60" s="1077"/>
      <c r="H60" s="1077"/>
      <c r="I60" s="1077"/>
    </row>
    <row r="61" spans="1:40" ht="15" customHeight="1"/>
    <row r="62" spans="1:40" ht="15" customHeight="1"/>
    <row r="63" spans="1:40" ht="15" customHeight="1"/>
    <row r="64" spans="1:40" ht="15" customHeight="1">
      <c r="Z64" s="1411" t="s">
        <v>2479</v>
      </c>
      <c r="AA64" s="1426"/>
      <c r="AB64" s="1433">
        <f>+L11</f>
        <v>0</v>
      </c>
      <c r="AC64" s="1412"/>
      <c r="AD64" s="1413" t="s">
        <v>2480</v>
      </c>
      <c r="AE64" s="1411" t="s">
        <v>2481</v>
      </c>
      <c r="AF64" s="1411" t="s">
        <v>2482</v>
      </c>
      <c r="AG64" s="1412" t="s">
        <v>2483</v>
      </c>
      <c r="AH64" s="1415"/>
      <c r="AI64" s="1434"/>
      <c r="AJ64" s="1414"/>
    </row>
    <row r="65" spans="26:36" ht="15" customHeight="1">
      <c r="Z65" s="1411" t="s">
        <v>2484</v>
      </c>
      <c r="AA65" s="1411" t="s">
        <v>2485</v>
      </c>
      <c r="AB65" s="1416" t="s">
        <v>2486</v>
      </c>
      <c r="AC65" s="1412" t="s">
        <v>2487</v>
      </c>
      <c r="AD65" s="1413" t="s">
        <v>2488</v>
      </c>
      <c r="AE65" s="1411" t="s">
        <v>2489</v>
      </c>
      <c r="AF65" s="1411" t="s">
        <v>2488</v>
      </c>
      <c r="AG65" s="1412" t="s">
        <v>2490</v>
      </c>
      <c r="AH65" s="1415"/>
      <c r="AI65" s="1434"/>
      <c r="AJ65" s="1414"/>
    </row>
    <row r="66" spans="26:36" ht="15" customHeight="1">
      <c r="Z66" s="1411">
        <v>1</v>
      </c>
      <c r="AA66" s="1417" t="s">
        <v>2491</v>
      </c>
      <c r="AB66" s="1432">
        <f>+L10</f>
        <v>0</v>
      </c>
      <c r="AC66" s="1418" t="e">
        <f>-PMT(AJ67,AJ68,L10)</f>
        <v>#NUM!</v>
      </c>
      <c r="AD66" s="1413">
        <f>+L11</f>
        <v>0</v>
      </c>
      <c r="AE66" s="1411">
        <v>30</v>
      </c>
      <c r="AF66" s="1411">
        <f t="shared" ref="AF66:AF129" si="0">AD66/360</f>
        <v>0</v>
      </c>
      <c r="AG66" s="1412">
        <f t="shared" ref="AG66:AG129" si="1">+AB66*AE66*AF66</f>
        <v>0</v>
      </c>
      <c r="AH66" s="1415">
        <f>MAX(0,AB66*0.005)</f>
        <v>0</v>
      </c>
      <c r="AI66" s="1434">
        <v>1</v>
      </c>
      <c r="AJ66" s="1414"/>
    </row>
    <row r="67" spans="26:36" ht="15" customHeight="1">
      <c r="Z67" s="1411">
        <v>2</v>
      </c>
      <c r="AA67" s="1417" t="s">
        <v>2491</v>
      </c>
      <c r="AB67" s="1419" t="e">
        <f t="shared" ref="AB67:AB130" si="2">+AB66-AC66+AG66</f>
        <v>#NUM!</v>
      </c>
      <c r="AC67" s="1418" t="e">
        <f>+AC66</f>
        <v>#NUM!</v>
      </c>
      <c r="AD67" s="1413">
        <f>+AD66</f>
        <v>0</v>
      </c>
      <c r="AE67" s="1411">
        <v>30</v>
      </c>
      <c r="AF67" s="1411">
        <f t="shared" si="0"/>
        <v>0</v>
      </c>
      <c r="AG67" s="1412" t="e">
        <f t="shared" si="1"/>
        <v>#NUM!</v>
      </c>
      <c r="AH67" s="1415"/>
      <c r="AI67" s="1434"/>
      <c r="AJ67" s="1414">
        <f>+L11/12</f>
        <v>0</v>
      </c>
    </row>
    <row r="68" spans="26:36" ht="15">
      <c r="Z68" s="1411">
        <v>3</v>
      </c>
      <c r="AA68" s="1417" t="s">
        <v>2491</v>
      </c>
      <c r="AB68" s="1419" t="e">
        <f t="shared" si="2"/>
        <v>#NUM!</v>
      </c>
      <c r="AC68" s="1418" t="e">
        <f t="shared" ref="AC68:AD83" si="3">+AC67</f>
        <v>#NUM!</v>
      </c>
      <c r="AD68" s="1413">
        <f t="shared" si="3"/>
        <v>0</v>
      </c>
      <c r="AE68" s="1411">
        <v>30</v>
      </c>
      <c r="AF68" s="1411">
        <f t="shared" si="0"/>
        <v>0</v>
      </c>
      <c r="AG68" s="1412" t="e">
        <f t="shared" si="1"/>
        <v>#NUM!</v>
      </c>
      <c r="AH68" s="1415"/>
      <c r="AI68" s="1434"/>
      <c r="AJ68" s="1414">
        <f>+L12*12</f>
        <v>0</v>
      </c>
    </row>
    <row r="69" spans="26:36" ht="15">
      <c r="Z69" s="1411">
        <v>4</v>
      </c>
      <c r="AA69" s="1417" t="s">
        <v>2491</v>
      </c>
      <c r="AB69" s="1419" t="e">
        <f t="shared" si="2"/>
        <v>#NUM!</v>
      </c>
      <c r="AC69" s="1418" t="e">
        <f t="shared" si="3"/>
        <v>#NUM!</v>
      </c>
      <c r="AD69" s="1413">
        <f t="shared" si="3"/>
        <v>0</v>
      </c>
      <c r="AE69" s="1411">
        <v>30</v>
      </c>
      <c r="AF69" s="1411">
        <f t="shared" si="0"/>
        <v>0</v>
      </c>
      <c r="AG69" s="1412" t="e">
        <f t="shared" si="1"/>
        <v>#NUM!</v>
      </c>
      <c r="AH69" s="1415"/>
      <c r="AI69" s="1434"/>
      <c r="AJ69" s="1414"/>
    </row>
    <row r="70" spans="26:36" ht="15">
      <c r="Z70" s="1411">
        <v>5</v>
      </c>
      <c r="AA70" s="1417" t="s">
        <v>2491</v>
      </c>
      <c r="AB70" s="1419" t="e">
        <f t="shared" si="2"/>
        <v>#NUM!</v>
      </c>
      <c r="AC70" s="1418" t="e">
        <f t="shared" si="3"/>
        <v>#NUM!</v>
      </c>
      <c r="AD70" s="1413">
        <f t="shared" si="3"/>
        <v>0</v>
      </c>
      <c r="AE70" s="1411">
        <v>30</v>
      </c>
      <c r="AF70" s="1411">
        <f t="shared" si="0"/>
        <v>0</v>
      </c>
      <c r="AG70" s="1412" t="e">
        <f t="shared" si="1"/>
        <v>#NUM!</v>
      </c>
      <c r="AH70" s="1415"/>
      <c r="AI70" s="1434"/>
      <c r="AJ70" s="1414"/>
    </row>
    <row r="71" spans="26:36" ht="15">
      <c r="Z71" s="1411">
        <v>6</v>
      </c>
      <c r="AA71" s="1417" t="s">
        <v>2491</v>
      </c>
      <c r="AB71" s="1419" t="e">
        <f t="shared" si="2"/>
        <v>#NUM!</v>
      </c>
      <c r="AC71" s="1418" t="e">
        <f t="shared" si="3"/>
        <v>#NUM!</v>
      </c>
      <c r="AD71" s="1413">
        <f t="shared" si="3"/>
        <v>0</v>
      </c>
      <c r="AE71" s="1411">
        <v>30</v>
      </c>
      <c r="AF71" s="1411">
        <f t="shared" si="0"/>
        <v>0</v>
      </c>
      <c r="AG71" s="1412" t="e">
        <f t="shared" si="1"/>
        <v>#NUM!</v>
      </c>
      <c r="AH71" s="1415"/>
      <c r="AI71" s="1434"/>
      <c r="AJ71" s="1414"/>
    </row>
    <row r="72" spans="26:36" ht="15">
      <c r="Z72" s="1411">
        <v>7</v>
      </c>
      <c r="AA72" s="1417" t="s">
        <v>2491</v>
      </c>
      <c r="AB72" s="1419" t="e">
        <f t="shared" si="2"/>
        <v>#NUM!</v>
      </c>
      <c r="AC72" s="1418" t="e">
        <f t="shared" si="3"/>
        <v>#NUM!</v>
      </c>
      <c r="AD72" s="1413">
        <f t="shared" si="3"/>
        <v>0</v>
      </c>
      <c r="AE72" s="1411">
        <v>30</v>
      </c>
      <c r="AF72" s="1411">
        <f t="shared" si="0"/>
        <v>0</v>
      </c>
      <c r="AG72" s="1412" t="e">
        <f t="shared" si="1"/>
        <v>#NUM!</v>
      </c>
      <c r="AH72" s="1415"/>
      <c r="AI72" s="1434"/>
      <c r="AJ72" s="1414"/>
    </row>
    <row r="73" spans="26:36" ht="15">
      <c r="Z73" s="1411">
        <v>8</v>
      </c>
      <c r="AA73" s="1417" t="s">
        <v>2491</v>
      </c>
      <c r="AB73" s="1419" t="e">
        <f t="shared" si="2"/>
        <v>#NUM!</v>
      </c>
      <c r="AC73" s="1418" t="e">
        <f t="shared" si="3"/>
        <v>#NUM!</v>
      </c>
      <c r="AD73" s="1413">
        <f t="shared" si="3"/>
        <v>0</v>
      </c>
      <c r="AE73" s="1411">
        <v>30</v>
      </c>
      <c r="AF73" s="1411">
        <f t="shared" si="0"/>
        <v>0</v>
      </c>
      <c r="AG73" s="1412" t="e">
        <f t="shared" si="1"/>
        <v>#NUM!</v>
      </c>
      <c r="AH73" s="1415"/>
      <c r="AI73" s="1434"/>
      <c r="AJ73" s="1414"/>
    </row>
    <row r="74" spans="26:36" ht="15">
      <c r="Z74" s="1411">
        <v>9</v>
      </c>
      <c r="AA74" s="1417" t="s">
        <v>2491</v>
      </c>
      <c r="AB74" s="1419" t="e">
        <f t="shared" si="2"/>
        <v>#NUM!</v>
      </c>
      <c r="AC74" s="1418" t="e">
        <f t="shared" si="3"/>
        <v>#NUM!</v>
      </c>
      <c r="AD74" s="1413">
        <f t="shared" si="3"/>
        <v>0</v>
      </c>
      <c r="AE74" s="1411">
        <v>30</v>
      </c>
      <c r="AF74" s="1411">
        <f t="shared" si="0"/>
        <v>0</v>
      </c>
      <c r="AG74" s="1412" t="e">
        <f t="shared" si="1"/>
        <v>#NUM!</v>
      </c>
      <c r="AH74" s="1415"/>
      <c r="AI74" s="1434"/>
      <c r="AJ74" s="1414"/>
    </row>
    <row r="75" spans="26:36" ht="15">
      <c r="Z75" s="1411">
        <v>10</v>
      </c>
      <c r="AA75" s="1417" t="s">
        <v>2491</v>
      </c>
      <c r="AB75" s="1419" t="e">
        <f t="shared" si="2"/>
        <v>#NUM!</v>
      </c>
      <c r="AC75" s="1418" t="e">
        <f t="shared" si="3"/>
        <v>#NUM!</v>
      </c>
      <c r="AD75" s="1413">
        <f t="shared" si="3"/>
        <v>0</v>
      </c>
      <c r="AE75" s="1411">
        <v>30</v>
      </c>
      <c r="AF75" s="1411">
        <f t="shared" si="0"/>
        <v>0</v>
      </c>
      <c r="AG75" s="1412" t="e">
        <f t="shared" si="1"/>
        <v>#NUM!</v>
      </c>
      <c r="AH75" s="1415"/>
      <c r="AI75" s="1434"/>
      <c r="AJ75" s="1414"/>
    </row>
    <row r="76" spans="26:36" ht="15">
      <c r="Z76" s="1411">
        <v>11</v>
      </c>
      <c r="AA76" s="1417" t="s">
        <v>2491</v>
      </c>
      <c r="AB76" s="1419" t="e">
        <f t="shared" si="2"/>
        <v>#NUM!</v>
      </c>
      <c r="AC76" s="1418" t="e">
        <f t="shared" si="3"/>
        <v>#NUM!</v>
      </c>
      <c r="AD76" s="1413">
        <f t="shared" si="3"/>
        <v>0</v>
      </c>
      <c r="AE76" s="1411">
        <v>30</v>
      </c>
      <c r="AF76" s="1411">
        <f t="shared" si="0"/>
        <v>0</v>
      </c>
      <c r="AG76" s="1412" t="e">
        <f t="shared" si="1"/>
        <v>#NUM!</v>
      </c>
      <c r="AH76" s="1415"/>
      <c r="AI76" s="1434"/>
      <c r="AJ76" s="1414"/>
    </row>
    <row r="77" spans="26:36" ht="15.75" thickBot="1">
      <c r="Z77" s="1420">
        <v>12</v>
      </c>
      <c r="AA77" s="1421" t="s">
        <v>2491</v>
      </c>
      <c r="AB77" s="1422" t="e">
        <f t="shared" si="2"/>
        <v>#NUM!</v>
      </c>
      <c r="AC77" s="1423" t="e">
        <f t="shared" si="3"/>
        <v>#NUM!</v>
      </c>
      <c r="AD77" s="1424">
        <f t="shared" si="3"/>
        <v>0</v>
      </c>
      <c r="AE77" s="1420">
        <v>30</v>
      </c>
      <c r="AF77" s="1420">
        <f t="shared" si="0"/>
        <v>0</v>
      </c>
      <c r="AG77" s="1425" t="e">
        <f t="shared" si="1"/>
        <v>#NUM!</v>
      </c>
      <c r="AJ77" s="1414"/>
    </row>
    <row r="78" spans="26:36" ht="15">
      <c r="Z78" s="1411">
        <v>13</v>
      </c>
      <c r="AA78" s="1417" t="s">
        <v>2491</v>
      </c>
      <c r="AB78" s="1419" t="e">
        <f t="shared" si="2"/>
        <v>#NUM!</v>
      </c>
      <c r="AC78" s="1418" t="e">
        <f t="shared" si="3"/>
        <v>#NUM!</v>
      </c>
      <c r="AD78" s="1413">
        <f t="shared" si="3"/>
        <v>0</v>
      </c>
      <c r="AE78" s="1411">
        <v>30</v>
      </c>
      <c r="AF78" s="1411">
        <f t="shared" si="0"/>
        <v>0</v>
      </c>
      <c r="AG78" s="1412" t="e">
        <f t="shared" si="1"/>
        <v>#NUM!</v>
      </c>
      <c r="AH78" s="1415" t="e">
        <f>MAX(0,AB78*0.005)</f>
        <v>#NUM!</v>
      </c>
      <c r="AI78" s="1434">
        <v>2</v>
      </c>
      <c r="AJ78" s="1414"/>
    </row>
    <row r="79" spans="26:36" ht="15">
      <c r="Z79" s="1411">
        <v>14</v>
      </c>
      <c r="AA79" s="1417" t="s">
        <v>2491</v>
      </c>
      <c r="AB79" s="1419" t="e">
        <f t="shared" si="2"/>
        <v>#NUM!</v>
      </c>
      <c r="AC79" s="1418" t="e">
        <f t="shared" si="3"/>
        <v>#NUM!</v>
      </c>
      <c r="AD79" s="1413">
        <f t="shared" si="3"/>
        <v>0</v>
      </c>
      <c r="AE79" s="1411">
        <v>30</v>
      </c>
      <c r="AF79" s="1411">
        <f t="shared" si="0"/>
        <v>0</v>
      </c>
      <c r="AG79" s="1412" t="e">
        <f t="shared" si="1"/>
        <v>#NUM!</v>
      </c>
      <c r="AH79" s="1415"/>
      <c r="AI79" s="1434"/>
      <c r="AJ79" s="1414"/>
    </row>
    <row r="80" spans="26:36" ht="15">
      <c r="Z80" s="1411">
        <v>15</v>
      </c>
      <c r="AA80" s="1417" t="s">
        <v>2491</v>
      </c>
      <c r="AB80" s="1419" t="e">
        <f t="shared" si="2"/>
        <v>#NUM!</v>
      </c>
      <c r="AC80" s="1418" t="e">
        <f t="shared" si="3"/>
        <v>#NUM!</v>
      </c>
      <c r="AD80" s="1413">
        <f t="shared" si="3"/>
        <v>0</v>
      </c>
      <c r="AE80" s="1411">
        <v>30</v>
      </c>
      <c r="AF80" s="1411">
        <f t="shared" si="0"/>
        <v>0</v>
      </c>
      <c r="AG80" s="1412" t="e">
        <f t="shared" si="1"/>
        <v>#NUM!</v>
      </c>
      <c r="AH80" s="1415"/>
      <c r="AI80" s="1434"/>
      <c r="AJ80" s="1414"/>
    </row>
    <row r="81" spans="26:36" ht="15">
      <c r="Z81" s="1411">
        <v>16</v>
      </c>
      <c r="AA81" s="1417" t="s">
        <v>2491</v>
      </c>
      <c r="AB81" s="1419" t="e">
        <f t="shared" si="2"/>
        <v>#NUM!</v>
      </c>
      <c r="AC81" s="1418" t="e">
        <f t="shared" si="3"/>
        <v>#NUM!</v>
      </c>
      <c r="AD81" s="1413">
        <f t="shared" si="3"/>
        <v>0</v>
      </c>
      <c r="AE81" s="1411">
        <v>30</v>
      </c>
      <c r="AF81" s="1411">
        <f t="shared" si="0"/>
        <v>0</v>
      </c>
      <c r="AG81" s="1412" t="e">
        <f t="shared" si="1"/>
        <v>#NUM!</v>
      </c>
      <c r="AH81" s="1415"/>
      <c r="AI81" s="1434"/>
      <c r="AJ81" s="1414"/>
    </row>
    <row r="82" spans="26:36" ht="15">
      <c r="Z82" s="1411">
        <v>17</v>
      </c>
      <c r="AA82" s="1417" t="s">
        <v>2491</v>
      </c>
      <c r="AB82" s="1419" t="e">
        <f t="shared" si="2"/>
        <v>#NUM!</v>
      </c>
      <c r="AC82" s="1418" t="e">
        <f t="shared" si="3"/>
        <v>#NUM!</v>
      </c>
      <c r="AD82" s="1413">
        <f t="shared" si="3"/>
        <v>0</v>
      </c>
      <c r="AE82" s="1411">
        <v>30</v>
      </c>
      <c r="AF82" s="1411">
        <f t="shared" si="0"/>
        <v>0</v>
      </c>
      <c r="AG82" s="1412" t="e">
        <f t="shared" si="1"/>
        <v>#NUM!</v>
      </c>
      <c r="AH82" s="1415"/>
      <c r="AI82" s="1434"/>
      <c r="AJ82" s="1414"/>
    </row>
    <row r="83" spans="26:36" ht="15">
      <c r="Z83" s="1411">
        <v>18</v>
      </c>
      <c r="AA83" s="1417" t="s">
        <v>2491</v>
      </c>
      <c r="AB83" s="1419" t="e">
        <f t="shared" si="2"/>
        <v>#NUM!</v>
      </c>
      <c r="AC83" s="1418" t="e">
        <f t="shared" si="3"/>
        <v>#NUM!</v>
      </c>
      <c r="AD83" s="1413">
        <f t="shared" si="3"/>
        <v>0</v>
      </c>
      <c r="AE83" s="1411">
        <v>30</v>
      </c>
      <c r="AF83" s="1411">
        <f t="shared" si="0"/>
        <v>0</v>
      </c>
      <c r="AG83" s="1412" t="e">
        <f t="shared" si="1"/>
        <v>#NUM!</v>
      </c>
      <c r="AH83" s="1415"/>
      <c r="AI83" s="1434"/>
      <c r="AJ83" s="1414"/>
    </row>
    <row r="84" spans="26:36" ht="15">
      <c r="Z84" s="1411">
        <v>19</v>
      </c>
      <c r="AA84" s="1417" t="s">
        <v>2491</v>
      </c>
      <c r="AB84" s="1419" t="e">
        <f t="shared" si="2"/>
        <v>#NUM!</v>
      </c>
      <c r="AC84" s="1418" t="e">
        <f t="shared" ref="AC84:AD99" si="4">+AC83</f>
        <v>#NUM!</v>
      </c>
      <c r="AD84" s="1413">
        <f t="shared" si="4"/>
        <v>0</v>
      </c>
      <c r="AE84" s="1411">
        <v>30</v>
      </c>
      <c r="AF84" s="1411">
        <f t="shared" si="0"/>
        <v>0</v>
      </c>
      <c r="AG84" s="1412" t="e">
        <f t="shared" si="1"/>
        <v>#NUM!</v>
      </c>
      <c r="AH84" s="1415"/>
      <c r="AI84" s="1434"/>
      <c r="AJ84" s="1414"/>
    </row>
    <row r="85" spans="26:36" ht="15">
      <c r="Z85" s="1411">
        <v>20</v>
      </c>
      <c r="AA85" s="1417" t="s">
        <v>2491</v>
      </c>
      <c r="AB85" s="1419" t="e">
        <f t="shared" si="2"/>
        <v>#NUM!</v>
      </c>
      <c r="AC85" s="1418" t="e">
        <f t="shared" si="4"/>
        <v>#NUM!</v>
      </c>
      <c r="AD85" s="1413">
        <f t="shared" si="4"/>
        <v>0</v>
      </c>
      <c r="AE85" s="1411">
        <v>30</v>
      </c>
      <c r="AF85" s="1411">
        <f t="shared" si="0"/>
        <v>0</v>
      </c>
      <c r="AG85" s="1412" t="e">
        <f t="shared" si="1"/>
        <v>#NUM!</v>
      </c>
      <c r="AH85" s="1415"/>
      <c r="AI85" s="1434"/>
      <c r="AJ85" s="1414"/>
    </row>
    <row r="86" spans="26:36" ht="15">
      <c r="Z86" s="1411">
        <v>21</v>
      </c>
      <c r="AA86" s="1417" t="s">
        <v>2491</v>
      </c>
      <c r="AB86" s="1419" t="e">
        <f t="shared" si="2"/>
        <v>#NUM!</v>
      </c>
      <c r="AC86" s="1418" t="e">
        <f t="shared" si="4"/>
        <v>#NUM!</v>
      </c>
      <c r="AD86" s="1413">
        <f t="shared" si="4"/>
        <v>0</v>
      </c>
      <c r="AE86" s="1411">
        <v>30</v>
      </c>
      <c r="AF86" s="1411">
        <f t="shared" si="0"/>
        <v>0</v>
      </c>
      <c r="AG86" s="1412" t="e">
        <f t="shared" si="1"/>
        <v>#NUM!</v>
      </c>
      <c r="AH86" s="1415"/>
      <c r="AI86" s="1434"/>
      <c r="AJ86" s="1414"/>
    </row>
    <row r="87" spans="26:36" ht="15">
      <c r="Z87" s="1411">
        <v>22</v>
      </c>
      <c r="AA87" s="1417" t="s">
        <v>2491</v>
      </c>
      <c r="AB87" s="1419" t="e">
        <f t="shared" si="2"/>
        <v>#NUM!</v>
      </c>
      <c r="AC87" s="1418" t="e">
        <f t="shared" si="4"/>
        <v>#NUM!</v>
      </c>
      <c r="AD87" s="1413">
        <f t="shared" si="4"/>
        <v>0</v>
      </c>
      <c r="AE87" s="1411">
        <v>30</v>
      </c>
      <c r="AF87" s="1411">
        <f t="shared" si="0"/>
        <v>0</v>
      </c>
      <c r="AG87" s="1412" t="e">
        <f t="shared" si="1"/>
        <v>#NUM!</v>
      </c>
      <c r="AH87" s="1415"/>
      <c r="AI87" s="1434"/>
      <c r="AJ87" s="1414"/>
    </row>
    <row r="88" spans="26:36" ht="15">
      <c r="Z88" s="1411">
        <v>23</v>
      </c>
      <c r="AA88" s="1417" t="s">
        <v>2491</v>
      </c>
      <c r="AB88" s="1419" t="e">
        <f t="shared" si="2"/>
        <v>#NUM!</v>
      </c>
      <c r="AC88" s="1418" t="e">
        <f t="shared" si="4"/>
        <v>#NUM!</v>
      </c>
      <c r="AD88" s="1413">
        <f t="shared" si="4"/>
        <v>0</v>
      </c>
      <c r="AE88" s="1411">
        <v>30</v>
      </c>
      <c r="AF88" s="1411">
        <f t="shared" si="0"/>
        <v>0</v>
      </c>
      <c r="AG88" s="1412" t="e">
        <f t="shared" si="1"/>
        <v>#NUM!</v>
      </c>
      <c r="AH88" s="1415"/>
      <c r="AI88" s="1434"/>
      <c r="AJ88" s="1414"/>
    </row>
    <row r="89" spans="26:36" ht="15">
      <c r="Z89" s="1411">
        <v>24</v>
      </c>
      <c r="AA89" s="1417" t="s">
        <v>2491</v>
      </c>
      <c r="AB89" s="1419" t="e">
        <f t="shared" si="2"/>
        <v>#NUM!</v>
      </c>
      <c r="AC89" s="1418" t="e">
        <f t="shared" si="4"/>
        <v>#NUM!</v>
      </c>
      <c r="AD89" s="1413">
        <f t="shared" si="4"/>
        <v>0</v>
      </c>
      <c r="AE89" s="1411">
        <v>30</v>
      </c>
      <c r="AF89" s="1411">
        <f t="shared" si="0"/>
        <v>0</v>
      </c>
      <c r="AG89" s="1412" t="e">
        <f t="shared" si="1"/>
        <v>#NUM!</v>
      </c>
      <c r="AH89" s="1415"/>
      <c r="AI89" s="1434"/>
      <c r="AJ89" s="1414"/>
    </row>
    <row r="90" spans="26:36" ht="15">
      <c r="Z90" s="1411">
        <v>25</v>
      </c>
      <c r="AA90" s="1417" t="s">
        <v>2491</v>
      </c>
      <c r="AB90" s="1419" t="e">
        <f t="shared" si="2"/>
        <v>#NUM!</v>
      </c>
      <c r="AC90" s="1418" t="e">
        <f t="shared" si="4"/>
        <v>#NUM!</v>
      </c>
      <c r="AD90" s="1413">
        <f t="shared" si="4"/>
        <v>0</v>
      </c>
      <c r="AE90" s="1411">
        <v>30</v>
      </c>
      <c r="AF90" s="1411">
        <f t="shared" si="0"/>
        <v>0</v>
      </c>
      <c r="AG90" s="1412" t="e">
        <f t="shared" si="1"/>
        <v>#NUM!</v>
      </c>
      <c r="AH90" s="1415" t="e">
        <f>MAX(0,AB90*0.005)</f>
        <v>#NUM!</v>
      </c>
      <c r="AI90" s="1434">
        <v>3</v>
      </c>
      <c r="AJ90" s="1414"/>
    </row>
    <row r="91" spans="26:36" ht="15">
      <c r="Z91" s="1411">
        <v>26</v>
      </c>
      <c r="AA91" s="1417" t="s">
        <v>2491</v>
      </c>
      <c r="AB91" s="1419" t="e">
        <f t="shared" si="2"/>
        <v>#NUM!</v>
      </c>
      <c r="AC91" s="1418" t="e">
        <f t="shared" si="4"/>
        <v>#NUM!</v>
      </c>
      <c r="AD91" s="1413">
        <f t="shared" si="4"/>
        <v>0</v>
      </c>
      <c r="AE91" s="1411">
        <v>30</v>
      </c>
      <c r="AF91" s="1411">
        <f t="shared" si="0"/>
        <v>0</v>
      </c>
      <c r="AG91" s="1412" t="e">
        <f t="shared" si="1"/>
        <v>#NUM!</v>
      </c>
      <c r="AH91" s="1415"/>
      <c r="AI91" s="1434"/>
      <c r="AJ91" s="1414"/>
    </row>
    <row r="92" spans="26:36" ht="15">
      <c r="Z92" s="1411">
        <v>27</v>
      </c>
      <c r="AA92" s="1417" t="s">
        <v>2491</v>
      </c>
      <c r="AB92" s="1419" t="e">
        <f t="shared" si="2"/>
        <v>#NUM!</v>
      </c>
      <c r="AC92" s="1418" t="e">
        <f t="shared" si="4"/>
        <v>#NUM!</v>
      </c>
      <c r="AD92" s="1413">
        <f t="shared" si="4"/>
        <v>0</v>
      </c>
      <c r="AE92" s="1411">
        <v>30</v>
      </c>
      <c r="AF92" s="1411">
        <f t="shared" si="0"/>
        <v>0</v>
      </c>
      <c r="AG92" s="1412" t="e">
        <f t="shared" si="1"/>
        <v>#NUM!</v>
      </c>
      <c r="AH92" s="1415"/>
      <c r="AI92" s="1434"/>
      <c r="AJ92" s="1414"/>
    </row>
    <row r="93" spans="26:36" ht="15">
      <c r="Z93" s="1411">
        <v>28</v>
      </c>
      <c r="AA93" s="1417" t="s">
        <v>2491</v>
      </c>
      <c r="AB93" s="1419" t="e">
        <f t="shared" si="2"/>
        <v>#NUM!</v>
      </c>
      <c r="AC93" s="1418" t="e">
        <f t="shared" si="4"/>
        <v>#NUM!</v>
      </c>
      <c r="AD93" s="1413">
        <f t="shared" si="4"/>
        <v>0</v>
      </c>
      <c r="AE93" s="1411">
        <v>30</v>
      </c>
      <c r="AF93" s="1411">
        <f t="shared" si="0"/>
        <v>0</v>
      </c>
      <c r="AG93" s="1412" t="e">
        <f t="shared" si="1"/>
        <v>#NUM!</v>
      </c>
      <c r="AH93" s="1415"/>
      <c r="AI93" s="1434"/>
      <c r="AJ93" s="1414"/>
    </row>
    <row r="94" spans="26:36" ht="15">
      <c r="Z94" s="1411">
        <v>29</v>
      </c>
      <c r="AA94" s="1417" t="s">
        <v>2491</v>
      </c>
      <c r="AB94" s="1419" t="e">
        <f t="shared" si="2"/>
        <v>#NUM!</v>
      </c>
      <c r="AC94" s="1418" t="e">
        <f t="shared" si="4"/>
        <v>#NUM!</v>
      </c>
      <c r="AD94" s="1413">
        <f t="shared" si="4"/>
        <v>0</v>
      </c>
      <c r="AE94" s="1411">
        <v>30</v>
      </c>
      <c r="AF94" s="1411">
        <f t="shared" si="0"/>
        <v>0</v>
      </c>
      <c r="AG94" s="1412" t="e">
        <f t="shared" si="1"/>
        <v>#NUM!</v>
      </c>
      <c r="AH94" s="1415"/>
      <c r="AI94" s="1434"/>
      <c r="AJ94" s="1414"/>
    </row>
    <row r="95" spans="26:36" ht="15">
      <c r="Z95" s="1411">
        <v>30</v>
      </c>
      <c r="AA95" s="1417" t="s">
        <v>2491</v>
      </c>
      <c r="AB95" s="1419" t="e">
        <f t="shared" si="2"/>
        <v>#NUM!</v>
      </c>
      <c r="AC95" s="1418" t="e">
        <f t="shared" si="4"/>
        <v>#NUM!</v>
      </c>
      <c r="AD95" s="1413">
        <f t="shared" si="4"/>
        <v>0</v>
      </c>
      <c r="AE95" s="1411">
        <v>30</v>
      </c>
      <c r="AF95" s="1411">
        <f t="shared" si="0"/>
        <v>0</v>
      </c>
      <c r="AG95" s="1412" t="e">
        <f t="shared" si="1"/>
        <v>#NUM!</v>
      </c>
      <c r="AH95" s="1415"/>
      <c r="AI95" s="1434"/>
      <c r="AJ95" s="1414"/>
    </row>
    <row r="96" spans="26:36" ht="15">
      <c r="Z96" s="1411">
        <v>31</v>
      </c>
      <c r="AA96" s="1417" t="s">
        <v>2491</v>
      </c>
      <c r="AB96" s="1419" t="e">
        <f t="shared" si="2"/>
        <v>#NUM!</v>
      </c>
      <c r="AC96" s="1418" t="e">
        <f t="shared" si="4"/>
        <v>#NUM!</v>
      </c>
      <c r="AD96" s="1413">
        <f t="shared" si="4"/>
        <v>0</v>
      </c>
      <c r="AE96" s="1411">
        <v>30</v>
      </c>
      <c r="AF96" s="1411">
        <f t="shared" si="0"/>
        <v>0</v>
      </c>
      <c r="AG96" s="1412" t="e">
        <f t="shared" si="1"/>
        <v>#NUM!</v>
      </c>
      <c r="AH96" s="1415"/>
      <c r="AI96" s="1434"/>
      <c r="AJ96" s="1414"/>
    </row>
    <row r="97" spans="26:36" ht="15">
      <c r="Z97" s="1411">
        <v>32</v>
      </c>
      <c r="AA97" s="1417" t="s">
        <v>2491</v>
      </c>
      <c r="AB97" s="1419" t="e">
        <f t="shared" si="2"/>
        <v>#NUM!</v>
      </c>
      <c r="AC97" s="1418" t="e">
        <f t="shared" si="4"/>
        <v>#NUM!</v>
      </c>
      <c r="AD97" s="1413">
        <f t="shared" si="4"/>
        <v>0</v>
      </c>
      <c r="AE97" s="1411">
        <v>30</v>
      </c>
      <c r="AF97" s="1411">
        <f t="shared" si="0"/>
        <v>0</v>
      </c>
      <c r="AG97" s="1412" t="e">
        <f t="shared" si="1"/>
        <v>#NUM!</v>
      </c>
      <c r="AH97" s="1415"/>
      <c r="AI97" s="1434"/>
      <c r="AJ97" s="1414"/>
    </row>
    <row r="98" spans="26:36" ht="15">
      <c r="Z98" s="1411">
        <v>33</v>
      </c>
      <c r="AA98" s="1417" t="s">
        <v>2491</v>
      </c>
      <c r="AB98" s="1419" t="e">
        <f t="shared" si="2"/>
        <v>#NUM!</v>
      </c>
      <c r="AC98" s="1418" t="e">
        <f t="shared" si="4"/>
        <v>#NUM!</v>
      </c>
      <c r="AD98" s="1413">
        <f t="shared" si="4"/>
        <v>0</v>
      </c>
      <c r="AE98" s="1411">
        <v>30</v>
      </c>
      <c r="AF98" s="1411">
        <f t="shared" si="0"/>
        <v>0</v>
      </c>
      <c r="AG98" s="1412" t="e">
        <f t="shared" si="1"/>
        <v>#NUM!</v>
      </c>
      <c r="AH98" s="1415"/>
      <c r="AI98" s="1434"/>
      <c r="AJ98" s="1414"/>
    </row>
    <row r="99" spans="26:36" ht="15">
      <c r="Z99" s="1411">
        <v>34</v>
      </c>
      <c r="AA99" s="1417" t="s">
        <v>2491</v>
      </c>
      <c r="AB99" s="1419" t="e">
        <f t="shared" si="2"/>
        <v>#NUM!</v>
      </c>
      <c r="AC99" s="1418" t="e">
        <f t="shared" si="4"/>
        <v>#NUM!</v>
      </c>
      <c r="AD99" s="1413">
        <f t="shared" si="4"/>
        <v>0</v>
      </c>
      <c r="AE99" s="1411">
        <v>30</v>
      </c>
      <c r="AF99" s="1411">
        <f t="shared" si="0"/>
        <v>0</v>
      </c>
      <c r="AG99" s="1412" t="e">
        <f t="shared" si="1"/>
        <v>#NUM!</v>
      </c>
      <c r="AH99" s="1415"/>
      <c r="AI99" s="1434"/>
      <c r="AJ99" s="1414"/>
    </row>
    <row r="100" spans="26:36" ht="15">
      <c r="Z100" s="1411">
        <v>35</v>
      </c>
      <c r="AA100" s="1417" t="s">
        <v>2491</v>
      </c>
      <c r="AB100" s="1419" t="e">
        <f t="shared" si="2"/>
        <v>#NUM!</v>
      </c>
      <c r="AC100" s="1418" t="e">
        <f t="shared" ref="AC100:AD115" si="5">+AC99</f>
        <v>#NUM!</v>
      </c>
      <c r="AD100" s="1413">
        <f t="shared" si="5"/>
        <v>0</v>
      </c>
      <c r="AE100" s="1411">
        <v>30</v>
      </c>
      <c r="AF100" s="1411">
        <f t="shared" si="0"/>
        <v>0</v>
      </c>
      <c r="AG100" s="1412" t="e">
        <f t="shared" si="1"/>
        <v>#NUM!</v>
      </c>
      <c r="AH100" s="1415"/>
      <c r="AI100" s="1434"/>
      <c r="AJ100" s="1414"/>
    </row>
    <row r="101" spans="26:36" ht="15">
      <c r="Z101" s="1411">
        <v>36</v>
      </c>
      <c r="AA101" s="1417" t="s">
        <v>2491</v>
      </c>
      <c r="AB101" s="1419" t="e">
        <f t="shared" si="2"/>
        <v>#NUM!</v>
      </c>
      <c r="AC101" s="1418" t="e">
        <f t="shared" si="5"/>
        <v>#NUM!</v>
      </c>
      <c r="AD101" s="1413">
        <f t="shared" si="5"/>
        <v>0</v>
      </c>
      <c r="AE101" s="1411">
        <v>30</v>
      </c>
      <c r="AF101" s="1411">
        <f t="shared" si="0"/>
        <v>0</v>
      </c>
      <c r="AG101" s="1412" t="e">
        <f t="shared" si="1"/>
        <v>#NUM!</v>
      </c>
      <c r="AH101" s="1415"/>
      <c r="AI101" s="1434"/>
      <c r="AJ101" s="1414"/>
    </row>
    <row r="102" spans="26:36" ht="15">
      <c r="Z102" s="1411">
        <v>37</v>
      </c>
      <c r="AA102" s="1417" t="s">
        <v>2491</v>
      </c>
      <c r="AB102" s="1419" t="e">
        <f t="shared" si="2"/>
        <v>#NUM!</v>
      </c>
      <c r="AC102" s="1418" t="e">
        <f t="shared" si="5"/>
        <v>#NUM!</v>
      </c>
      <c r="AD102" s="1413">
        <f t="shared" si="5"/>
        <v>0</v>
      </c>
      <c r="AE102" s="1411">
        <v>30</v>
      </c>
      <c r="AF102" s="1411">
        <f t="shared" si="0"/>
        <v>0</v>
      </c>
      <c r="AG102" s="1412" t="e">
        <f t="shared" si="1"/>
        <v>#NUM!</v>
      </c>
      <c r="AH102" s="1415" t="e">
        <f>MAX(0,AB102*0.005)</f>
        <v>#NUM!</v>
      </c>
      <c r="AI102" s="1434">
        <v>4</v>
      </c>
      <c r="AJ102" s="1414"/>
    </row>
    <row r="103" spans="26:36" ht="15">
      <c r="Z103" s="1411">
        <v>38</v>
      </c>
      <c r="AA103" s="1417" t="s">
        <v>2491</v>
      </c>
      <c r="AB103" s="1419" t="e">
        <f t="shared" si="2"/>
        <v>#NUM!</v>
      </c>
      <c r="AC103" s="1418" t="e">
        <f t="shared" si="5"/>
        <v>#NUM!</v>
      </c>
      <c r="AD103" s="1413">
        <f t="shared" si="5"/>
        <v>0</v>
      </c>
      <c r="AE103" s="1411">
        <v>30</v>
      </c>
      <c r="AF103" s="1411">
        <f t="shared" si="0"/>
        <v>0</v>
      </c>
      <c r="AG103" s="1412" t="e">
        <f t="shared" si="1"/>
        <v>#NUM!</v>
      </c>
      <c r="AH103" s="1415"/>
      <c r="AI103" s="1434"/>
      <c r="AJ103" s="1414"/>
    </row>
    <row r="104" spans="26:36" ht="15">
      <c r="Z104" s="1411">
        <v>39</v>
      </c>
      <c r="AA104" s="1417" t="s">
        <v>2491</v>
      </c>
      <c r="AB104" s="1419" t="e">
        <f t="shared" si="2"/>
        <v>#NUM!</v>
      </c>
      <c r="AC104" s="1418" t="e">
        <f t="shared" si="5"/>
        <v>#NUM!</v>
      </c>
      <c r="AD104" s="1413">
        <f t="shared" si="5"/>
        <v>0</v>
      </c>
      <c r="AE104" s="1411">
        <v>30</v>
      </c>
      <c r="AF104" s="1411">
        <f t="shared" si="0"/>
        <v>0</v>
      </c>
      <c r="AG104" s="1412" t="e">
        <f t="shared" si="1"/>
        <v>#NUM!</v>
      </c>
      <c r="AH104" s="1415"/>
      <c r="AI104" s="1434"/>
      <c r="AJ104" s="1414"/>
    </row>
    <row r="105" spans="26:36" ht="15">
      <c r="Z105" s="1411">
        <v>40</v>
      </c>
      <c r="AA105" s="1417" t="s">
        <v>2491</v>
      </c>
      <c r="AB105" s="1419" t="e">
        <f t="shared" si="2"/>
        <v>#NUM!</v>
      </c>
      <c r="AC105" s="1418" t="e">
        <f t="shared" si="5"/>
        <v>#NUM!</v>
      </c>
      <c r="AD105" s="1413">
        <f t="shared" si="5"/>
        <v>0</v>
      </c>
      <c r="AE105" s="1411">
        <v>30</v>
      </c>
      <c r="AF105" s="1411">
        <f t="shared" si="0"/>
        <v>0</v>
      </c>
      <c r="AG105" s="1412" t="e">
        <f t="shared" si="1"/>
        <v>#NUM!</v>
      </c>
      <c r="AH105" s="1415"/>
      <c r="AI105" s="1434"/>
      <c r="AJ105" s="1414"/>
    </row>
    <row r="106" spans="26:36" ht="15">
      <c r="Z106" s="1411">
        <v>41</v>
      </c>
      <c r="AA106" s="1417" t="s">
        <v>2491</v>
      </c>
      <c r="AB106" s="1419" t="e">
        <f t="shared" si="2"/>
        <v>#NUM!</v>
      </c>
      <c r="AC106" s="1418" t="e">
        <f t="shared" si="5"/>
        <v>#NUM!</v>
      </c>
      <c r="AD106" s="1413">
        <f t="shared" si="5"/>
        <v>0</v>
      </c>
      <c r="AE106" s="1411">
        <v>30</v>
      </c>
      <c r="AF106" s="1411">
        <f t="shared" si="0"/>
        <v>0</v>
      </c>
      <c r="AG106" s="1412" t="e">
        <f t="shared" si="1"/>
        <v>#NUM!</v>
      </c>
      <c r="AH106" s="1415"/>
      <c r="AI106" s="1434"/>
      <c r="AJ106" s="1414"/>
    </row>
    <row r="107" spans="26:36" ht="15">
      <c r="Z107" s="1411">
        <v>42</v>
      </c>
      <c r="AA107" s="1417" t="s">
        <v>2491</v>
      </c>
      <c r="AB107" s="1419" t="e">
        <f t="shared" si="2"/>
        <v>#NUM!</v>
      </c>
      <c r="AC107" s="1418" t="e">
        <f t="shared" si="5"/>
        <v>#NUM!</v>
      </c>
      <c r="AD107" s="1413">
        <f t="shared" si="5"/>
        <v>0</v>
      </c>
      <c r="AE107" s="1411">
        <v>30</v>
      </c>
      <c r="AF107" s="1411">
        <f t="shared" si="0"/>
        <v>0</v>
      </c>
      <c r="AG107" s="1412" t="e">
        <f t="shared" si="1"/>
        <v>#NUM!</v>
      </c>
      <c r="AH107" s="1415"/>
      <c r="AI107" s="1434"/>
      <c r="AJ107" s="1414"/>
    </row>
    <row r="108" spans="26:36" ht="15">
      <c r="Z108" s="1411">
        <v>43</v>
      </c>
      <c r="AA108" s="1417" t="s">
        <v>2491</v>
      </c>
      <c r="AB108" s="1419" t="e">
        <f t="shared" si="2"/>
        <v>#NUM!</v>
      </c>
      <c r="AC108" s="1418" t="e">
        <f t="shared" si="5"/>
        <v>#NUM!</v>
      </c>
      <c r="AD108" s="1413">
        <f t="shared" si="5"/>
        <v>0</v>
      </c>
      <c r="AE108" s="1411">
        <v>30</v>
      </c>
      <c r="AF108" s="1411">
        <f t="shared" si="0"/>
        <v>0</v>
      </c>
      <c r="AG108" s="1412" t="e">
        <f t="shared" si="1"/>
        <v>#NUM!</v>
      </c>
      <c r="AH108" s="1415"/>
      <c r="AI108" s="1434"/>
      <c r="AJ108" s="1414"/>
    </row>
    <row r="109" spans="26:36" ht="15">
      <c r="Z109" s="1411">
        <v>44</v>
      </c>
      <c r="AA109" s="1417" t="s">
        <v>2491</v>
      </c>
      <c r="AB109" s="1419" t="e">
        <f t="shared" si="2"/>
        <v>#NUM!</v>
      </c>
      <c r="AC109" s="1418" t="e">
        <f t="shared" si="5"/>
        <v>#NUM!</v>
      </c>
      <c r="AD109" s="1413">
        <f t="shared" si="5"/>
        <v>0</v>
      </c>
      <c r="AE109" s="1411">
        <v>30</v>
      </c>
      <c r="AF109" s="1411">
        <f t="shared" si="0"/>
        <v>0</v>
      </c>
      <c r="AG109" s="1412" t="e">
        <f t="shared" si="1"/>
        <v>#NUM!</v>
      </c>
      <c r="AH109" s="1415"/>
      <c r="AI109" s="1434"/>
      <c r="AJ109" s="1414"/>
    </row>
    <row r="110" spans="26:36" ht="15">
      <c r="Z110" s="1411">
        <v>45</v>
      </c>
      <c r="AA110" s="1417" t="s">
        <v>2491</v>
      </c>
      <c r="AB110" s="1419" t="e">
        <f t="shared" si="2"/>
        <v>#NUM!</v>
      </c>
      <c r="AC110" s="1418" t="e">
        <f t="shared" si="5"/>
        <v>#NUM!</v>
      </c>
      <c r="AD110" s="1413">
        <f t="shared" si="5"/>
        <v>0</v>
      </c>
      <c r="AE110" s="1411">
        <v>30</v>
      </c>
      <c r="AF110" s="1411">
        <f t="shared" si="0"/>
        <v>0</v>
      </c>
      <c r="AG110" s="1412" t="e">
        <f t="shared" si="1"/>
        <v>#NUM!</v>
      </c>
      <c r="AH110" s="1415"/>
      <c r="AI110" s="1434"/>
      <c r="AJ110" s="1414"/>
    </row>
    <row r="111" spans="26:36" ht="15">
      <c r="Z111" s="1411">
        <v>46</v>
      </c>
      <c r="AA111" s="1417" t="s">
        <v>2491</v>
      </c>
      <c r="AB111" s="1419" t="e">
        <f t="shared" si="2"/>
        <v>#NUM!</v>
      </c>
      <c r="AC111" s="1418" t="e">
        <f t="shared" si="5"/>
        <v>#NUM!</v>
      </c>
      <c r="AD111" s="1413">
        <f t="shared" si="5"/>
        <v>0</v>
      </c>
      <c r="AE111" s="1411">
        <v>30</v>
      </c>
      <c r="AF111" s="1411">
        <f t="shared" si="0"/>
        <v>0</v>
      </c>
      <c r="AG111" s="1412" t="e">
        <f t="shared" si="1"/>
        <v>#NUM!</v>
      </c>
      <c r="AH111" s="1415"/>
      <c r="AI111" s="1434"/>
      <c r="AJ111" s="1414"/>
    </row>
    <row r="112" spans="26:36" ht="15">
      <c r="Z112" s="1411">
        <v>47</v>
      </c>
      <c r="AA112" s="1417" t="s">
        <v>2491</v>
      </c>
      <c r="AB112" s="1419" t="e">
        <f t="shared" si="2"/>
        <v>#NUM!</v>
      </c>
      <c r="AC112" s="1418" t="e">
        <f t="shared" si="5"/>
        <v>#NUM!</v>
      </c>
      <c r="AD112" s="1413">
        <f t="shared" si="5"/>
        <v>0</v>
      </c>
      <c r="AE112" s="1411">
        <v>30</v>
      </c>
      <c r="AF112" s="1411">
        <f t="shared" si="0"/>
        <v>0</v>
      </c>
      <c r="AG112" s="1412" t="e">
        <f t="shared" si="1"/>
        <v>#NUM!</v>
      </c>
      <c r="AH112" s="1415"/>
      <c r="AI112" s="1434"/>
      <c r="AJ112" s="1414"/>
    </row>
    <row r="113" spans="26:36" ht="15">
      <c r="Z113" s="1411">
        <v>48</v>
      </c>
      <c r="AA113" s="1417" t="s">
        <v>2491</v>
      </c>
      <c r="AB113" s="1419" t="e">
        <f t="shared" si="2"/>
        <v>#NUM!</v>
      </c>
      <c r="AC113" s="1418" t="e">
        <f t="shared" si="5"/>
        <v>#NUM!</v>
      </c>
      <c r="AD113" s="1413">
        <f t="shared" si="5"/>
        <v>0</v>
      </c>
      <c r="AE113" s="1411">
        <v>30</v>
      </c>
      <c r="AF113" s="1411">
        <f t="shared" si="0"/>
        <v>0</v>
      </c>
      <c r="AG113" s="1412" t="e">
        <f t="shared" si="1"/>
        <v>#NUM!</v>
      </c>
      <c r="AH113" s="1415"/>
      <c r="AI113" s="1434"/>
      <c r="AJ113" s="1414"/>
    </row>
    <row r="114" spans="26:36" ht="15">
      <c r="Z114" s="1411">
        <v>49</v>
      </c>
      <c r="AA114" s="1417" t="s">
        <v>2491</v>
      </c>
      <c r="AB114" s="1419" t="e">
        <f t="shared" si="2"/>
        <v>#NUM!</v>
      </c>
      <c r="AC114" s="1418" t="e">
        <f t="shared" si="5"/>
        <v>#NUM!</v>
      </c>
      <c r="AD114" s="1413">
        <f t="shared" si="5"/>
        <v>0</v>
      </c>
      <c r="AE114" s="1411">
        <v>30</v>
      </c>
      <c r="AF114" s="1411">
        <f t="shared" si="0"/>
        <v>0</v>
      </c>
      <c r="AG114" s="1412" t="e">
        <f t="shared" si="1"/>
        <v>#NUM!</v>
      </c>
      <c r="AH114" s="1415" t="e">
        <f>MAX(0,AB114*0.005)</f>
        <v>#NUM!</v>
      </c>
      <c r="AI114" s="1434">
        <v>5</v>
      </c>
      <c r="AJ114" s="1414"/>
    </row>
    <row r="115" spans="26:36" ht="15">
      <c r="Z115" s="1411">
        <v>50</v>
      </c>
      <c r="AA115" s="1417" t="s">
        <v>2491</v>
      </c>
      <c r="AB115" s="1419" t="e">
        <f t="shared" si="2"/>
        <v>#NUM!</v>
      </c>
      <c r="AC115" s="1418" t="e">
        <f t="shared" si="5"/>
        <v>#NUM!</v>
      </c>
      <c r="AD115" s="1413">
        <f t="shared" si="5"/>
        <v>0</v>
      </c>
      <c r="AE115" s="1411">
        <v>30</v>
      </c>
      <c r="AF115" s="1411">
        <f t="shared" si="0"/>
        <v>0</v>
      </c>
      <c r="AG115" s="1412" t="e">
        <f t="shared" si="1"/>
        <v>#NUM!</v>
      </c>
      <c r="AH115" s="1415"/>
      <c r="AI115" s="1434"/>
      <c r="AJ115" s="1414"/>
    </row>
    <row r="116" spans="26:36" ht="15">
      <c r="Z116" s="1411">
        <v>51</v>
      </c>
      <c r="AA116" s="1417" t="s">
        <v>2491</v>
      </c>
      <c r="AB116" s="1419" t="e">
        <f t="shared" si="2"/>
        <v>#NUM!</v>
      </c>
      <c r="AC116" s="1418" t="e">
        <f t="shared" ref="AC116:AD131" si="6">+AC115</f>
        <v>#NUM!</v>
      </c>
      <c r="AD116" s="1413">
        <f t="shared" si="6"/>
        <v>0</v>
      </c>
      <c r="AE116" s="1411">
        <v>30</v>
      </c>
      <c r="AF116" s="1411">
        <f t="shared" si="0"/>
        <v>0</v>
      </c>
      <c r="AG116" s="1412" t="e">
        <f t="shared" si="1"/>
        <v>#NUM!</v>
      </c>
      <c r="AH116" s="1415"/>
      <c r="AI116" s="1434"/>
      <c r="AJ116" s="1414"/>
    </row>
    <row r="117" spans="26:36" ht="15">
      <c r="Z117" s="1411">
        <v>52</v>
      </c>
      <c r="AA117" s="1417" t="s">
        <v>2491</v>
      </c>
      <c r="AB117" s="1419" t="e">
        <f t="shared" si="2"/>
        <v>#NUM!</v>
      </c>
      <c r="AC117" s="1418" t="e">
        <f t="shared" si="6"/>
        <v>#NUM!</v>
      </c>
      <c r="AD117" s="1413">
        <f t="shared" si="6"/>
        <v>0</v>
      </c>
      <c r="AE117" s="1411">
        <v>30</v>
      </c>
      <c r="AF117" s="1411">
        <f t="shared" si="0"/>
        <v>0</v>
      </c>
      <c r="AG117" s="1412" t="e">
        <f t="shared" si="1"/>
        <v>#NUM!</v>
      </c>
      <c r="AH117" s="1415"/>
      <c r="AI117" s="1434"/>
      <c r="AJ117" s="1414"/>
    </row>
    <row r="118" spans="26:36" ht="15">
      <c r="Z118" s="1411">
        <v>53</v>
      </c>
      <c r="AA118" s="1417" t="s">
        <v>2491</v>
      </c>
      <c r="AB118" s="1419" t="e">
        <f t="shared" si="2"/>
        <v>#NUM!</v>
      </c>
      <c r="AC118" s="1418" t="e">
        <f t="shared" si="6"/>
        <v>#NUM!</v>
      </c>
      <c r="AD118" s="1413">
        <f t="shared" si="6"/>
        <v>0</v>
      </c>
      <c r="AE118" s="1411">
        <v>30</v>
      </c>
      <c r="AF118" s="1411">
        <f t="shared" si="0"/>
        <v>0</v>
      </c>
      <c r="AG118" s="1412" t="e">
        <f t="shared" si="1"/>
        <v>#NUM!</v>
      </c>
      <c r="AH118" s="1415"/>
      <c r="AI118" s="1434"/>
      <c r="AJ118" s="1414"/>
    </row>
    <row r="119" spans="26:36" ht="15">
      <c r="Z119" s="1411">
        <v>54</v>
      </c>
      <c r="AA119" s="1417" t="s">
        <v>2491</v>
      </c>
      <c r="AB119" s="1419" t="e">
        <f t="shared" si="2"/>
        <v>#NUM!</v>
      </c>
      <c r="AC119" s="1418" t="e">
        <f t="shared" si="6"/>
        <v>#NUM!</v>
      </c>
      <c r="AD119" s="1413">
        <f t="shared" si="6"/>
        <v>0</v>
      </c>
      <c r="AE119" s="1411">
        <v>30</v>
      </c>
      <c r="AF119" s="1411">
        <f t="shared" si="0"/>
        <v>0</v>
      </c>
      <c r="AG119" s="1412" t="e">
        <f t="shared" si="1"/>
        <v>#NUM!</v>
      </c>
      <c r="AH119" s="1415"/>
      <c r="AI119" s="1434"/>
      <c r="AJ119" s="1414"/>
    </row>
    <row r="120" spans="26:36" ht="15">
      <c r="Z120" s="1411">
        <v>55</v>
      </c>
      <c r="AA120" s="1417" t="s">
        <v>2491</v>
      </c>
      <c r="AB120" s="1419" t="e">
        <f t="shared" si="2"/>
        <v>#NUM!</v>
      </c>
      <c r="AC120" s="1418" t="e">
        <f t="shared" si="6"/>
        <v>#NUM!</v>
      </c>
      <c r="AD120" s="1413">
        <f t="shared" si="6"/>
        <v>0</v>
      </c>
      <c r="AE120" s="1411">
        <v>30</v>
      </c>
      <c r="AF120" s="1411">
        <f t="shared" si="0"/>
        <v>0</v>
      </c>
      <c r="AG120" s="1412" t="e">
        <f t="shared" si="1"/>
        <v>#NUM!</v>
      </c>
      <c r="AH120" s="1415"/>
      <c r="AI120" s="1434"/>
      <c r="AJ120" s="1414"/>
    </row>
    <row r="121" spans="26:36" ht="15">
      <c r="Z121" s="1411">
        <v>56</v>
      </c>
      <c r="AA121" s="1417" t="s">
        <v>2491</v>
      </c>
      <c r="AB121" s="1419" t="e">
        <f t="shared" si="2"/>
        <v>#NUM!</v>
      </c>
      <c r="AC121" s="1418" t="e">
        <f t="shared" si="6"/>
        <v>#NUM!</v>
      </c>
      <c r="AD121" s="1413">
        <f t="shared" si="6"/>
        <v>0</v>
      </c>
      <c r="AE121" s="1411">
        <v>30</v>
      </c>
      <c r="AF121" s="1411">
        <f t="shared" si="0"/>
        <v>0</v>
      </c>
      <c r="AG121" s="1412" t="e">
        <f t="shared" si="1"/>
        <v>#NUM!</v>
      </c>
      <c r="AH121" s="1415"/>
      <c r="AI121" s="1434"/>
      <c r="AJ121" s="1414"/>
    </row>
    <row r="122" spans="26:36" ht="15">
      <c r="Z122" s="1411">
        <v>57</v>
      </c>
      <c r="AA122" s="1417" t="s">
        <v>2491</v>
      </c>
      <c r="AB122" s="1419" t="e">
        <f t="shared" si="2"/>
        <v>#NUM!</v>
      </c>
      <c r="AC122" s="1418" t="e">
        <f t="shared" si="6"/>
        <v>#NUM!</v>
      </c>
      <c r="AD122" s="1413">
        <f t="shared" si="6"/>
        <v>0</v>
      </c>
      <c r="AE122" s="1411">
        <v>30</v>
      </c>
      <c r="AF122" s="1411">
        <f t="shared" si="0"/>
        <v>0</v>
      </c>
      <c r="AG122" s="1412" t="e">
        <f t="shared" si="1"/>
        <v>#NUM!</v>
      </c>
      <c r="AH122" s="1415"/>
      <c r="AI122" s="1434"/>
      <c r="AJ122" s="1414"/>
    </row>
    <row r="123" spans="26:36" ht="15">
      <c r="Z123" s="1411">
        <v>58</v>
      </c>
      <c r="AA123" s="1417" t="s">
        <v>2491</v>
      </c>
      <c r="AB123" s="1419" t="e">
        <f t="shared" si="2"/>
        <v>#NUM!</v>
      </c>
      <c r="AC123" s="1418" t="e">
        <f t="shared" si="6"/>
        <v>#NUM!</v>
      </c>
      <c r="AD123" s="1413">
        <f t="shared" si="6"/>
        <v>0</v>
      </c>
      <c r="AE123" s="1411">
        <v>30</v>
      </c>
      <c r="AF123" s="1411">
        <f t="shared" si="0"/>
        <v>0</v>
      </c>
      <c r="AG123" s="1412" t="e">
        <f t="shared" si="1"/>
        <v>#NUM!</v>
      </c>
      <c r="AH123" s="1415"/>
      <c r="AI123" s="1434"/>
      <c r="AJ123" s="1414"/>
    </row>
    <row r="124" spans="26:36" ht="15">
      <c r="Z124" s="1411">
        <v>59</v>
      </c>
      <c r="AA124" s="1417" t="s">
        <v>2491</v>
      </c>
      <c r="AB124" s="1419" t="e">
        <f t="shared" si="2"/>
        <v>#NUM!</v>
      </c>
      <c r="AC124" s="1418" t="e">
        <f t="shared" si="6"/>
        <v>#NUM!</v>
      </c>
      <c r="AD124" s="1413">
        <f t="shared" si="6"/>
        <v>0</v>
      </c>
      <c r="AE124" s="1411">
        <v>30</v>
      </c>
      <c r="AF124" s="1411">
        <f t="shared" si="0"/>
        <v>0</v>
      </c>
      <c r="AG124" s="1412" t="e">
        <f t="shared" si="1"/>
        <v>#NUM!</v>
      </c>
      <c r="AH124" s="1415"/>
      <c r="AI124" s="1434"/>
      <c r="AJ124" s="1414"/>
    </row>
    <row r="125" spans="26:36" ht="15">
      <c r="Z125" s="1411">
        <v>60</v>
      </c>
      <c r="AA125" s="1417" t="s">
        <v>2491</v>
      </c>
      <c r="AB125" s="1419" t="e">
        <f t="shared" si="2"/>
        <v>#NUM!</v>
      </c>
      <c r="AC125" s="1418" t="e">
        <f t="shared" si="6"/>
        <v>#NUM!</v>
      </c>
      <c r="AD125" s="1413">
        <f t="shared" si="6"/>
        <v>0</v>
      </c>
      <c r="AE125" s="1411">
        <v>30</v>
      </c>
      <c r="AF125" s="1411">
        <f t="shared" si="0"/>
        <v>0</v>
      </c>
      <c r="AG125" s="1412" t="e">
        <f t="shared" si="1"/>
        <v>#NUM!</v>
      </c>
      <c r="AH125" s="1415"/>
      <c r="AI125" s="1434"/>
      <c r="AJ125" s="1414"/>
    </row>
    <row r="126" spans="26:36" ht="15">
      <c r="Z126" s="1411">
        <v>61</v>
      </c>
      <c r="AA126" s="1417" t="s">
        <v>2491</v>
      </c>
      <c r="AB126" s="1419" t="e">
        <f t="shared" si="2"/>
        <v>#NUM!</v>
      </c>
      <c r="AC126" s="1418" t="e">
        <f t="shared" si="6"/>
        <v>#NUM!</v>
      </c>
      <c r="AD126" s="1413">
        <f t="shared" si="6"/>
        <v>0</v>
      </c>
      <c r="AE126" s="1411">
        <v>30</v>
      </c>
      <c r="AF126" s="1411">
        <f t="shared" si="0"/>
        <v>0</v>
      </c>
      <c r="AG126" s="1412" t="e">
        <f t="shared" si="1"/>
        <v>#NUM!</v>
      </c>
      <c r="AH126" s="1415" t="e">
        <f>MAX(0,AB126*0.005)</f>
        <v>#NUM!</v>
      </c>
      <c r="AI126" s="1434">
        <v>6</v>
      </c>
      <c r="AJ126" s="1414"/>
    </row>
    <row r="127" spans="26:36" ht="15">
      <c r="Z127" s="1411">
        <v>62</v>
      </c>
      <c r="AA127" s="1417" t="s">
        <v>2491</v>
      </c>
      <c r="AB127" s="1419" t="e">
        <f t="shared" si="2"/>
        <v>#NUM!</v>
      </c>
      <c r="AC127" s="1418" t="e">
        <f t="shared" si="6"/>
        <v>#NUM!</v>
      </c>
      <c r="AD127" s="1413">
        <f t="shared" si="6"/>
        <v>0</v>
      </c>
      <c r="AE127" s="1411">
        <v>30</v>
      </c>
      <c r="AF127" s="1411">
        <f t="shared" si="0"/>
        <v>0</v>
      </c>
      <c r="AG127" s="1412" t="e">
        <f t="shared" si="1"/>
        <v>#NUM!</v>
      </c>
      <c r="AH127" s="1415"/>
      <c r="AI127" s="1434"/>
      <c r="AJ127" s="1414"/>
    </row>
    <row r="128" spans="26:36" ht="15">
      <c r="Z128" s="1411">
        <v>63</v>
      </c>
      <c r="AA128" s="1417" t="s">
        <v>2491</v>
      </c>
      <c r="AB128" s="1419" t="e">
        <f t="shared" si="2"/>
        <v>#NUM!</v>
      </c>
      <c r="AC128" s="1418" t="e">
        <f t="shared" si="6"/>
        <v>#NUM!</v>
      </c>
      <c r="AD128" s="1413">
        <f t="shared" si="6"/>
        <v>0</v>
      </c>
      <c r="AE128" s="1411">
        <v>30</v>
      </c>
      <c r="AF128" s="1411">
        <f t="shared" si="0"/>
        <v>0</v>
      </c>
      <c r="AG128" s="1412" t="e">
        <f t="shared" si="1"/>
        <v>#NUM!</v>
      </c>
      <c r="AH128" s="1415"/>
      <c r="AI128" s="1434"/>
      <c r="AJ128" s="1414"/>
    </row>
    <row r="129" spans="26:36" ht="15">
      <c r="Z129" s="1411">
        <v>64</v>
      </c>
      <c r="AA129" s="1417" t="s">
        <v>2491</v>
      </c>
      <c r="AB129" s="1419" t="e">
        <f t="shared" si="2"/>
        <v>#NUM!</v>
      </c>
      <c r="AC129" s="1418" t="e">
        <f t="shared" si="6"/>
        <v>#NUM!</v>
      </c>
      <c r="AD129" s="1413">
        <f t="shared" si="6"/>
        <v>0</v>
      </c>
      <c r="AE129" s="1411">
        <v>30</v>
      </c>
      <c r="AF129" s="1411">
        <f t="shared" si="0"/>
        <v>0</v>
      </c>
      <c r="AG129" s="1412" t="e">
        <f t="shared" si="1"/>
        <v>#NUM!</v>
      </c>
      <c r="AH129" s="1415"/>
      <c r="AI129" s="1434"/>
      <c r="AJ129" s="1414"/>
    </row>
    <row r="130" spans="26:36" ht="15">
      <c r="Z130" s="1411">
        <v>65</v>
      </c>
      <c r="AA130" s="1417" t="s">
        <v>2491</v>
      </c>
      <c r="AB130" s="1419" t="e">
        <f t="shared" si="2"/>
        <v>#NUM!</v>
      </c>
      <c r="AC130" s="1418" t="e">
        <f t="shared" si="6"/>
        <v>#NUM!</v>
      </c>
      <c r="AD130" s="1413">
        <f t="shared" si="6"/>
        <v>0</v>
      </c>
      <c r="AE130" s="1411">
        <v>30</v>
      </c>
      <c r="AF130" s="1411">
        <f t="shared" ref="AF130:AF193" si="7">AD130/360</f>
        <v>0</v>
      </c>
      <c r="AG130" s="1412" t="e">
        <f t="shared" ref="AG130:AG193" si="8">+AB130*AE130*AF130</f>
        <v>#NUM!</v>
      </c>
      <c r="AH130" s="1415"/>
      <c r="AI130" s="1434"/>
      <c r="AJ130" s="1414"/>
    </row>
    <row r="131" spans="26:36" ht="15">
      <c r="Z131" s="1411">
        <v>66</v>
      </c>
      <c r="AA131" s="1417" t="s">
        <v>2491</v>
      </c>
      <c r="AB131" s="1419" t="e">
        <f t="shared" ref="AB131:AB194" si="9">+AB130-AC130+AG130</f>
        <v>#NUM!</v>
      </c>
      <c r="AC131" s="1418" t="e">
        <f t="shared" si="6"/>
        <v>#NUM!</v>
      </c>
      <c r="AD131" s="1413">
        <f t="shared" si="6"/>
        <v>0</v>
      </c>
      <c r="AE131" s="1411">
        <v>30</v>
      </c>
      <c r="AF131" s="1411">
        <f t="shared" si="7"/>
        <v>0</v>
      </c>
      <c r="AG131" s="1412" t="e">
        <f t="shared" si="8"/>
        <v>#NUM!</v>
      </c>
      <c r="AH131" s="1415"/>
      <c r="AI131" s="1434"/>
      <c r="AJ131" s="1414"/>
    </row>
    <row r="132" spans="26:36" ht="15">
      <c r="Z132" s="1411">
        <v>67</v>
      </c>
      <c r="AA132" s="1417" t="s">
        <v>2491</v>
      </c>
      <c r="AB132" s="1419" t="e">
        <f t="shared" si="9"/>
        <v>#NUM!</v>
      </c>
      <c r="AC132" s="1418" t="e">
        <f t="shared" ref="AC132:AD147" si="10">+AC131</f>
        <v>#NUM!</v>
      </c>
      <c r="AD132" s="1413">
        <f t="shared" si="10"/>
        <v>0</v>
      </c>
      <c r="AE132" s="1411">
        <v>30</v>
      </c>
      <c r="AF132" s="1411">
        <f t="shared" si="7"/>
        <v>0</v>
      </c>
      <c r="AG132" s="1412" t="e">
        <f t="shared" si="8"/>
        <v>#NUM!</v>
      </c>
      <c r="AH132" s="1415"/>
      <c r="AI132" s="1434"/>
      <c r="AJ132" s="1414"/>
    </row>
    <row r="133" spans="26:36" ht="15">
      <c r="Z133" s="1411">
        <v>68</v>
      </c>
      <c r="AA133" s="1417" t="s">
        <v>2491</v>
      </c>
      <c r="AB133" s="1419" t="e">
        <f t="shared" si="9"/>
        <v>#NUM!</v>
      </c>
      <c r="AC133" s="1418" t="e">
        <f t="shared" si="10"/>
        <v>#NUM!</v>
      </c>
      <c r="AD133" s="1413">
        <f t="shared" si="10"/>
        <v>0</v>
      </c>
      <c r="AE133" s="1411">
        <v>30</v>
      </c>
      <c r="AF133" s="1411">
        <f t="shared" si="7"/>
        <v>0</v>
      </c>
      <c r="AG133" s="1412" t="e">
        <f t="shared" si="8"/>
        <v>#NUM!</v>
      </c>
      <c r="AH133" s="1415"/>
      <c r="AI133" s="1434"/>
      <c r="AJ133" s="1414"/>
    </row>
    <row r="134" spans="26:36" ht="15">
      <c r="Z134" s="1411">
        <v>69</v>
      </c>
      <c r="AA134" s="1417" t="s">
        <v>2491</v>
      </c>
      <c r="AB134" s="1419" t="e">
        <f t="shared" si="9"/>
        <v>#NUM!</v>
      </c>
      <c r="AC134" s="1418" t="e">
        <f t="shared" si="10"/>
        <v>#NUM!</v>
      </c>
      <c r="AD134" s="1413">
        <f t="shared" si="10"/>
        <v>0</v>
      </c>
      <c r="AE134" s="1411">
        <v>30</v>
      </c>
      <c r="AF134" s="1411">
        <f t="shared" si="7"/>
        <v>0</v>
      </c>
      <c r="AG134" s="1412" t="e">
        <f t="shared" si="8"/>
        <v>#NUM!</v>
      </c>
      <c r="AH134" s="1415"/>
      <c r="AI134" s="1434"/>
      <c r="AJ134" s="1414"/>
    </row>
    <row r="135" spans="26:36" ht="15">
      <c r="Z135" s="1411">
        <v>70</v>
      </c>
      <c r="AA135" s="1417" t="s">
        <v>2491</v>
      </c>
      <c r="AB135" s="1419" t="e">
        <f t="shared" si="9"/>
        <v>#NUM!</v>
      </c>
      <c r="AC135" s="1418" t="e">
        <f t="shared" si="10"/>
        <v>#NUM!</v>
      </c>
      <c r="AD135" s="1413">
        <f t="shared" si="10"/>
        <v>0</v>
      </c>
      <c r="AE135" s="1411">
        <v>30</v>
      </c>
      <c r="AF135" s="1411">
        <f t="shared" si="7"/>
        <v>0</v>
      </c>
      <c r="AG135" s="1412" t="e">
        <f t="shared" si="8"/>
        <v>#NUM!</v>
      </c>
      <c r="AH135" s="1415"/>
      <c r="AI135" s="1434"/>
      <c r="AJ135" s="1414"/>
    </row>
    <row r="136" spans="26:36" ht="15">
      <c r="Z136" s="1411">
        <v>71</v>
      </c>
      <c r="AA136" s="1417" t="s">
        <v>2491</v>
      </c>
      <c r="AB136" s="1419" t="e">
        <f t="shared" si="9"/>
        <v>#NUM!</v>
      </c>
      <c r="AC136" s="1418" t="e">
        <f t="shared" si="10"/>
        <v>#NUM!</v>
      </c>
      <c r="AD136" s="1413">
        <f t="shared" si="10"/>
        <v>0</v>
      </c>
      <c r="AE136" s="1411">
        <v>30</v>
      </c>
      <c r="AF136" s="1411">
        <f t="shared" si="7"/>
        <v>0</v>
      </c>
      <c r="AG136" s="1412" t="e">
        <f t="shared" si="8"/>
        <v>#NUM!</v>
      </c>
      <c r="AH136" s="1415"/>
      <c r="AI136" s="1434"/>
      <c r="AJ136" s="1414"/>
    </row>
    <row r="137" spans="26:36" ht="15">
      <c r="Z137" s="1411">
        <v>72</v>
      </c>
      <c r="AA137" s="1417" t="s">
        <v>2491</v>
      </c>
      <c r="AB137" s="1419" t="e">
        <f t="shared" si="9"/>
        <v>#NUM!</v>
      </c>
      <c r="AC137" s="1418" t="e">
        <f t="shared" si="10"/>
        <v>#NUM!</v>
      </c>
      <c r="AD137" s="1413">
        <f t="shared" si="10"/>
        <v>0</v>
      </c>
      <c r="AE137" s="1411">
        <v>30</v>
      </c>
      <c r="AF137" s="1411">
        <f t="shared" si="7"/>
        <v>0</v>
      </c>
      <c r="AG137" s="1412" t="e">
        <f t="shared" si="8"/>
        <v>#NUM!</v>
      </c>
      <c r="AH137" s="1415"/>
      <c r="AI137" s="1434"/>
      <c r="AJ137" s="1414"/>
    </row>
    <row r="138" spans="26:36" ht="15">
      <c r="Z138" s="1411">
        <v>73</v>
      </c>
      <c r="AA138" s="1417" t="s">
        <v>2491</v>
      </c>
      <c r="AB138" s="1419" t="e">
        <f t="shared" si="9"/>
        <v>#NUM!</v>
      </c>
      <c r="AC138" s="1418" t="e">
        <f t="shared" si="10"/>
        <v>#NUM!</v>
      </c>
      <c r="AD138" s="1413">
        <f t="shared" si="10"/>
        <v>0</v>
      </c>
      <c r="AE138" s="1411">
        <v>30</v>
      </c>
      <c r="AF138" s="1411">
        <f t="shared" si="7"/>
        <v>0</v>
      </c>
      <c r="AG138" s="1412" t="e">
        <f t="shared" si="8"/>
        <v>#NUM!</v>
      </c>
      <c r="AH138" s="1415" t="e">
        <f>MAX(0,AB138*0.005)</f>
        <v>#NUM!</v>
      </c>
      <c r="AI138" s="1434">
        <v>7</v>
      </c>
      <c r="AJ138" s="1414"/>
    </row>
    <row r="139" spans="26:36" ht="15">
      <c r="Z139" s="1411">
        <v>74</v>
      </c>
      <c r="AA139" s="1417" t="s">
        <v>2491</v>
      </c>
      <c r="AB139" s="1419" t="e">
        <f t="shared" si="9"/>
        <v>#NUM!</v>
      </c>
      <c r="AC139" s="1418" t="e">
        <f t="shared" si="10"/>
        <v>#NUM!</v>
      </c>
      <c r="AD139" s="1413">
        <f t="shared" si="10"/>
        <v>0</v>
      </c>
      <c r="AE139" s="1411">
        <v>30</v>
      </c>
      <c r="AF139" s="1411">
        <f t="shared" si="7"/>
        <v>0</v>
      </c>
      <c r="AG139" s="1412" t="e">
        <f t="shared" si="8"/>
        <v>#NUM!</v>
      </c>
      <c r="AH139" s="1415"/>
      <c r="AI139" s="1434"/>
      <c r="AJ139" s="1414"/>
    </row>
    <row r="140" spans="26:36" ht="15">
      <c r="Z140" s="1411">
        <v>75</v>
      </c>
      <c r="AA140" s="1417" t="s">
        <v>2491</v>
      </c>
      <c r="AB140" s="1419" t="e">
        <f t="shared" si="9"/>
        <v>#NUM!</v>
      </c>
      <c r="AC140" s="1418" t="e">
        <f t="shared" si="10"/>
        <v>#NUM!</v>
      </c>
      <c r="AD140" s="1413">
        <f t="shared" si="10"/>
        <v>0</v>
      </c>
      <c r="AE140" s="1411">
        <v>30</v>
      </c>
      <c r="AF140" s="1411">
        <f t="shared" si="7"/>
        <v>0</v>
      </c>
      <c r="AG140" s="1412" t="e">
        <f t="shared" si="8"/>
        <v>#NUM!</v>
      </c>
      <c r="AH140" s="1415"/>
      <c r="AI140" s="1434"/>
      <c r="AJ140" s="1414"/>
    </row>
    <row r="141" spans="26:36" ht="15">
      <c r="Z141" s="1411">
        <v>76</v>
      </c>
      <c r="AA141" s="1417" t="s">
        <v>2491</v>
      </c>
      <c r="AB141" s="1419" t="e">
        <f t="shared" si="9"/>
        <v>#NUM!</v>
      </c>
      <c r="AC141" s="1418" t="e">
        <f t="shared" si="10"/>
        <v>#NUM!</v>
      </c>
      <c r="AD141" s="1413">
        <f t="shared" si="10"/>
        <v>0</v>
      </c>
      <c r="AE141" s="1411">
        <v>30</v>
      </c>
      <c r="AF141" s="1411">
        <f t="shared" si="7"/>
        <v>0</v>
      </c>
      <c r="AG141" s="1412" t="e">
        <f t="shared" si="8"/>
        <v>#NUM!</v>
      </c>
      <c r="AH141" s="1415"/>
      <c r="AI141" s="1434"/>
      <c r="AJ141" s="1414"/>
    </row>
    <row r="142" spans="26:36" ht="15">
      <c r="Z142" s="1411">
        <v>77</v>
      </c>
      <c r="AA142" s="1417" t="s">
        <v>2491</v>
      </c>
      <c r="AB142" s="1419" t="e">
        <f t="shared" si="9"/>
        <v>#NUM!</v>
      </c>
      <c r="AC142" s="1418" t="e">
        <f t="shared" si="10"/>
        <v>#NUM!</v>
      </c>
      <c r="AD142" s="1413">
        <f t="shared" si="10"/>
        <v>0</v>
      </c>
      <c r="AE142" s="1411">
        <v>30</v>
      </c>
      <c r="AF142" s="1411">
        <f t="shared" si="7"/>
        <v>0</v>
      </c>
      <c r="AG142" s="1412" t="e">
        <f t="shared" si="8"/>
        <v>#NUM!</v>
      </c>
      <c r="AH142" s="1415"/>
      <c r="AI142" s="1434"/>
      <c r="AJ142" s="1414"/>
    </row>
    <row r="143" spans="26:36" ht="15">
      <c r="Z143" s="1411">
        <v>78</v>
      </c>
      <c r="AA143" s="1417" t="s">
        <v>2491</v>
      </c>
      <c r="AB143" s="1419" t="e">
        <f t="shared" si="9"/>
        <v>#NUM!</v>
      </c>
      <c r="AC143" s="1418" t="e">
        <f t="shared" si="10"/>
        <v>#NUM!</v>
      </c>
      <c r="AD143" s="1413">
        <f t="shared" si="10"/>
        <v>0</v>
      </c>
      <c r="AE143" s="1411">
        <v>30</v>
      </c>
      <c r="AF143" s="1411">
        <f t="shared" si="7"/>
        <v>0</v>
      </c>
      <c r="AG143" s="1412" t="e">
        <f t="shared" si="8"/>
        <v>#NUM!</v>
      </c>
      <c r="AH143" s="1415"/>
      <c r="AI143" s="1434"/>
      <c r="AJ143" s="1414"/>
    </row>
    <row r="144" spans="26:36" ht="15">
      <c r="Z144" s="1411">
        <v>79</v>
      </c>
      <c r="AA144" s="1417" t="s">
        <v>2491</v>
      </c>
      <c r="AB144" s="1419" t="e">
        <f t="shared" si="9"/>
        <v>#NUM!</v>
      </c>
      <c r="AC144" s="1418" t="e">
        <f t="shared" si="10"/>
        <v>#NUM!</v>
      </c>
      <c r="AD144" s="1413">
        <f t="shared" si="10"/>
        <v>0</v>
      </c>
      <c r="AE144" s="1411">
        <v>30</v>
      </c>
      <c r="AF144" s="1411">
        <f t="shared" si="7"/>
        <v>0</v>
      </c>
      <c r="AG144" s="1412" t="e">
        <f t="shared" si="8"/>
        <v>#NUM!</v>
      </c>
      <c r="AH144" s="1415"/>
      <c r="AI144" s="1434"/>
      <c r="AJ144" s="1414"/>
    </row>
    <row r="145" spans="26:36" ht="15">
      <c r="Z145" s="1411">
        <v>80</v>
      </c>
      <c r="AA145" s="1417" t="s">
        <v>2491</v>
      </c>
      <c r="AB145" s="1419" t="e">
        <f t="shared" si="9"/>
        <v>#NUM!</v>
      </c>
      <c r="AC145" s="1418" t="e">
        <f t="shared" si="10"/>
        <v>#NUM!</v>
      </c>
      <c r="AD145" s="1413">
        <f t="shared" si="10"/>
        <v>0</v>
      </c>
      <c r="AE145" s="1411">
        <v>30</v>
      </c>
      <c r="AF145" s="1411">
        <f t="shared" si="7"/>
        <v>0</v>
      </c>
      <c r="AG145" s="1412" t="e">
        <f t="shared" si="8"/>
        <v>#NUM!</v>
      </c>
      <c r="AH145" s="1415"/>
      <c r="AI145" s="1434"/>
      <c r="AJ145" s="1414"/>
    </row>
    <row r="146" spans="26:36" ht="15">
      <c r="Z146" s="1411">
        <v>81</v>
      </c>
      <c r="AA146" s="1417" t="s">
        <v>2491</v>
      </c>
      <c r="AB146" s="1419" t="e">
        <f t="shared" si="9"/>
        <v>#NUM!</v>
      </c>
      <c r="AC146" s="1418" t="e">
        <f t="shared" si="10"/>
        <v>#NUM!</v>
      </c>
      <c r="AD146" s="1413">
        <f t="shared" si="10"/>
        <v>0</v>
      </c>
      <c r="AE146" s="1411">
        <v>30</v>
      </c>
      <c r="AF146" s="1411">
        <f t="shared" si="7"/>
        <v>0</v>
      </c>
      <c r="AG146" s="1412" t="e">
        <f t="shared" si="8"/>
        <v>#NUM!</v>
      </c>
      <c r="AH146" s="1415"/>
      <c r="AI146" s="1434"/>
      <c r="AJ146" s="1414"/>
    </row>
    <row r="147" spans="26:36" ht="15">
      <c r="Z147" s="1411">
        <v>82</v>
      </c>
      <c r="AA147" s="1417" t="s">
        <v>2491</v>
      </c>
      <c r="AB147" s="1419" t="e">
        <f t="shared" si="9"/>
        <v>#NUM!</v>
      </c>
      <c r="AC147" s="1418" t="e">
        <f t="shared" si="10"/>
        <v>#NUM!</v>
      </c>
      <c r="AD147" s="1413">
        <f t="shared" si="10"/>
        <v>0</v>
      </c>
      <c r="AE147" s="1411">
        <v>30</v>
      </c>
      <c r="AF147" s="1411">
        <f t="shared" si="7"/>
        <v>0</v>
      </c>
      <c r="AG147" s="1412" t="e">
        <f t="shared" si="8"/>
        <v>#NUM!</v>
      </c>
      <c r="AH147" s="1415"/>
      <c r="AI147" s="1434"/>
      <c r="AJ147" s="1414"/>
    </row>
    <row r="148" spans="26:36" ht="15">
      <c r="Z148" s="1411">
        <v>83</v>
      </c>
      <c r="AA148" s="1417" t="s">
        <v>2491</v>
      </c>
      <c r="AB148" s="1419" t="e">
        <f t="shared" si="9"/>
        <v>#NUM!</v>
      </c>
      <c r="AC148" s="1418" t="e">
        <f t="shared" ref="AC148:AD163" si="11">+AC147</f>
        <v>#NUM!</v>
      </c>
      <c r="AD148" s="1413">
        <f t="shared" si="11"/>
        <v>0</v>
      </c>
      <c r="AE148" s="1411">
        <v>30</v>
      </c>
      <c r="AF148" s="1411">
        <f t="shared" si="7"/>
        <v>0</v>
      </c>
      <c r="AG148" s="1412" t="e">
        <f t="shared" si="8"/>
        <v>#NUM!</v>
      </c>
      <c r="AH148" s="1415"/>
      <c r="AI148" s="1434"/>
      <c r="AJ148" s="1414"/>
    </row>
    <row r="149" spans="26:36" ht="15">
      <c r="Z149" s="1411">
        <v>84</v>
      </c>
      <c r="AA149" s="1417" t="s">
        <v>2491</v>
      </c>
      <c r="AB149" s="1419" t="e">
        <f t="shared" si="9"/>
        <v>#NUM!</v>
      </c>
      <c r="AC149" s="1418" t="e">
        <f t="shared" si="11"/>
        <v>#NUM!</v>
      </c>
      <c r="AD149" s="1413">
        <f t="shared" si="11"/>
        <v>0</v>
      </c>
      <c r="AE149" s="1411">
        <v>30</v>
      </c>
      <c r="AF149" s="1411">
        <f t="shared" si="7"/>
        <v>0</v>
      </c>
      <c r="AG149" s="1412" t="e">
        <f t="shared" si="8"/>
        <v>#NUM!</v>
      </c>
      <c r="AH149" s="1415"/>
      <c r="AI149" s="1434"/>
      <c r="AJ149" s="1414"/>
    </row>
    <row r="150" spans="26:36" ht="15">
      <c r="Z150" s="1411">
        <v>85</v>
      </c>
      <c r="AA150" s="1417" t="s">
        <v>2491</v>
      </c>
      <c r="AB150" s="1419" t="e">
        <f t="shared" si="9"/>
        <v>#NUM!</v>
      </c>
      <c r="AC150" s="1418" t="e">
        <f t="shared" si="11"/>
        <v>#NUM!</v>
      </c>
      <c r="AD150" s="1413">
        <f t="shared" si="11"/>
        <v>0</v>
      </c>
      <c r="AE150" s="1411">
        <v>30</v>
      </c>
      <c r="AF150" s="1411">
        <f t="shared" si="7"/>
        <v>0</v>
      </c>
      <c r="AG150" s="1412" t="e">
        <f t="shared" si="8"/>
        <v>#NUM!</v>
      </c>
      <c r="AH150" s="1415" t="e">
        <f>MAX(0,AB150*0.005)</f>
        <v>#NUM!</v>
      </c>
      <c r="AI150" s="1434">
        <v>8</v>
      </c>
      <c r="AJ150" s="1414"/>
    </row>
    <row r="151" spans="26:36" ht="15">
      <c r="Z151" s="1411">
        <v>86</v>
      </c>
      <c r="AA151" s="1417" t="s">
        <v>2491</v>
      </c>
      <c r="AB151" s="1419" t="e">
        <f t="shared" si="9"/>
        <v>#NUM!</v>
      </c>
      <c r="AC151" s="1418" t="e">
        <f t="shared" si="11"/>
        <v>#NUM!</v>
      </c>
      <c r="AD151" s="1413">
        <f t="shared" si="11"/>
        <v>0</v>
      </c>
      <c r="AE151" s="1411">
        <v>30</v>
      </c>
      <c r="AF151" s="1411">
        <f t="shared" si="7"/>
        <v>0</v>
      </c>
      <c r="AG151" s="1412" t="e">
        <f t="shared" si="8"/>
        <v>#NUM!</v>
      </c>
      <c r="AH151" s="1415"/>
      <c r="AI151" s="1434"/>
      <c r="AJ151" s="1414"/>
    </row>
    <row r="152" spans="26:36" ht="15">
      <c r="Z152" s="1411">
        <v>87</v>
      </c>
      <c r="AA152" s="1417" t="s">
        <v>2491</v>
      </c>
      <c r="AB152" s="1419" t="e">
        <f t="shared" si="9"/>
        <v>#NUM!</v>
      </c>
      <c r="AC152" s="1418" t="e">
        <f t="shared" si="11"/>
        <v>#NUM!</v>
      </c>
      <c r="AD152" s="1413">
        <f t="shared" si="11"/>
        <v>0</v>
      </c>
      <c r="AE152" s="1411">
        <v>30</v>
      </c>
      <c r="AF152" s="1411">
        <f t="shared" si="7"/>
        <v>0</v>
      </c>
      <c r="AG152" s="1412" t="e">
        <f t="shared" si="8"/>
        <v>#NUM!</v>
      </c>
      <c r="AH152" s="1415"/>
      <c r="AI152" s="1434"/>
      <c r="AJ152" s="1414"/>
    </row>
    <row r="153" spans="26:36" ht="15">
      <c r="Z153" s="1411">
        <v>88</v>
      </c>
      <c r="AA153" s="1417" t="s">
        <v>2491</v>
      </c>
      <c r="AB153" s="1419" t="e">
        <f t="shared" si="9"/>
        <v>#NUM!</v>
      </c>
      <c r="AC153" s="1418" t="e">
        <f t="shared" si="11"/>
        <v>#NUM!</v>
      </c>
      <c r="AD153" s="1413">
        <f t="shared" si="11"/>
        <v>0</v>
      </c>
      <c r="AE153" s="1411">
        <v>30</v>
      </c>
      <c r="AF153" s="1411">
        <f t="shared" si="7"/>
        <v>0</v>
      </c>
      <c r="AG153" s="1412" t="e">
        <f t="shared" si="8"/>
        <v>#NUM!</v>
      </c>
      <c r="AH153" s="1415"/>
      <c r="AI153" s="1434"/>
      <c r="AJ153" s="1414"/>
    </row>
    <row r="154" spans="26:36" ht="15">
      <c r="Z154" s="1411">
        <v>89</v>
      </c>
      <c r="AA154" s="1417" t="s">
        <v>2491</v>
      </c>
      <c r="AB154" s="1419" t="e">
        <f t="shared" si="9"/>
        <v>#NUM!</v>
      </c>
      <c r="AC154" s="1418" t="e">
        <f t="shared" si="11"/>
        <v>#NUM!</v>
      </c>
      <c r="AD154" s="1413">
        <f t="shared" si="11"/>
        <v>0</v>
      </c>
      <c r="AE154" s="1411">
        <v>30</v>
      </c>
      <c r="AF154" s="1411">
        <f t="shared" si="7"/>
        <v>0</v>
      </c>
      <c r="AG154" s="1412" t="e">
        <f t="shared" si="8"/>
        <v>#NUM!</v>
      </c>
      <c r="AH154" s="1415"/>
      <c r="AI154" s="1434"/>
      <c r="AJ154" s="1414"/>
    </row>
    <row r="155" spans="26:36" ht="15">
      <c r="Z155" s="1411">
        <v>90</v>
      </c>
      <c r="AA155" s="1417" t="s">
        <v>2491</v>
      </c>
      <c r="AB155" s="1419" t="e">
        <f t="shared" si="9"/>
        <v>#NUM!</v>
      </c>
      <c r="AC155" s="1418" t="e">
        <f t="shared" si="11"/>
        <v>#NUM!</v>
      </c>
      <c r="AD155" s="1413">
        <f t="shared" si="11"/>
        <v>0</v>
      </c>
      <c r="AE155" s="1411">
        <v>30</v>
      </c>
      <c r="AF155" s="1411">
        <f t="shared" si="7"/>
        <v>0</v>
      </c>
      <c r="AG155" s="1412" t="e">
        <f t="shared" si="8"/>
        <v>#NUM!</v>
      </c>
      <c r="AH155" s="1415"/>
      <c r="AI155" s="1434"/>
      <c r="AJ155" s="1414"/>
    </row>
    <row r="156" spans="26:36" ht="15">
      <c r="Z156" s="1411">
        <v>91</v>
      </c>
      <c r="AA156" s="1417" t="s">
        <v>2491</v>
      </c>
      <c r="AB156" s="1419" t="e">
        <f t="shared" si="9"/>
        <v>#NUM!</v>
      </c>
      <c r="AC156" s="1418" t="e">
        <f t="shared" si="11"/>
        <v>#NUM!</v>
      </c>
      <c r="AD156" s="1413">
        <f t="shared" si="11"/>
        <v>0</v>
      </c>
      <c r="AE156" s="1411">
        <v>30</v>
      </c>
      <c r="AF156" s="1411">
        <f t="shared" si="7"/>
        <v>0</v>
      </c>
      <c r="AG156" s="1412" t="e">
        <f t="shared" si="8"/>
        <v>#NUM!</v>
      </c>
      <c r="AH156" s="1415"/>
      <c r="AI156" s="1434"/>
      <c r="AJ156" s="1414"/>
    </row>
    <row r="157" spans="26:36" ht="15">
      <c r="Z157" s="1411">
        <v>92</v>
      </c>
      <c r="AA157" s="1417" t="s">
        <v>2491</v>
      </c>
      <c r="AB157" s="1419" t="e">
        <f t="shared" si="9"/>
        <v>#NUM!</v>
      </c>
      <c r="AC157" s="1418" t="e">
        <f t="shared" si="11"/>
        <v>#NUM!</v>
      </c>
      <c r="AD157" s="1413">
        <f t="shared" si="11"/>
        <v>0</v>
      </c>
      <c r="AE157" s="1411">
        <v>30</v>
      </c>
      <c r="AF157" s="1411">
        <f t="shared" si="7"/>
        <v>0</v>
      </c>
      <c r="AG157" s="1412" t="e">
        <f t="shared" si="8"/>
        <v>#NUM!</v>
      </c>
      <c r="AH157" s="1415"/>
      <c r="AI157" s="1434"/>
      <c r="AJ157" s="1414"/>
    </row>
    <row r="158" spans="26:36" ht="15">
      <c r="Z158" s="1411">
        <v>93</v>
      </c>
      <c r="AA158" s="1417" t="s">
        <v>2491</v>
      </c>
      <c r="AB158" s="1419" t="e">
        <f t="shared" si="9"/>
        <v>#NUM!</v>
      </c>
      <c r="AC158" s="1418" t="e">
        <f t="shared" si="11"/>
        <v>#NUM!</v>
      </c>
      <c r="AD158" s="1413">
        <f t="shared" si="11"/>
        <v>0</v>
      </c>
      <c r="AE158" s="1411">
        <v>30</v>
      </c>
      <c r="AF158" s="1411">
        <f t="shared" si="7"/>
        <v>0</v>
      </c>
      <c r="AG158" s="1412" t="e">
        <f t="shared" si="8"/>
        <v>#NUM!</v>
      </c>
      <c r="AH158" s="1415"/>
      <c r="AI158" s="1434"/>
      <c r="AJ158" s="1414"/>
    </row>
    <row r="159" spans="26:36" ht="15">
      <c r="Z159" s="1411">
        <v>94</v>
      </c>
      <c r="AA159" s="1417" t="s">
        <v>2491</v>
      </c>
      <c r="AB159" s="1419" t="e">
        <f t="shared" si="9"/>
        <v>#NUM!</v>
      </c>
      <c r="AC159" s="1418" t="e">
        <f t="shared" si="11"/>
        <v>#NUM!</v>
      </c>
      <c r="AD159" s="1413">
        <f t="shared" si="11"/>
        <v>0</v>
      </c>
      <c r="AE159" s="1411">
        <v>30</v>
      </c>
      <c r="AF159" s="1411">
        <f t="shared" si="7"/>
        <v>0</v>
      </c>
      <c r="AG159" s="1412" t="e">
        <f t="shared" si="8"/>
        <v>#NUM!</v>
      </c>
      <c r="AH159" s="1415"/>
      <c r="AI159" s="1434"/>
      <c r="AJ159" s="1414"/>
    </row>
    <row r="160" spans="26:36" ht="15">
      <c r="Z160" s="1411">
        <v>95</v>
      </c>
      <c r="AA160" s="1417" t="s">
        <v>2491</v>
      </c>
      <c r="AB160" s="1419" t="e">
        <f t="shared" si="9"/>
        <v>#NUM!</v>
      </c>
      <c r="AC160" s="1418" t="e">
        <f t="shared" si="11"/>
        <v>#NUM!</v>
      </c>
      <c r="AD160" s="1413">
        <f t="shared" si="11"/>
        <v>0</v>
      </c>
      <c r="AE160" s="1411">
        <v>30</v>
      </c>
      <c r="AF160" s="1411">
        <f t="shared" si="7"/>
        <v>0</v>
      </c>
      <c r="AG160" s="1412" t="e">
        <f t="shared" si="8"/>
        <v>#NUM!</v>
      </c>
      <c r="AH160" s="1415"/>
      <c r="AI160" s="1434"/>
      <c r="AJ160" s="1414"/>
    </row>
    <row r="161" spans="26:36" ht="15">
      <c r="Z161" s="1411">
        <v>96</v>
      </c>
      <c r="AA161" s="1417" t="s">
        <v>2491</v>
      </c>
      <c r="AB161" s="1419" t="e">
        <f t="shared" si="9"/>
        <v>#NUM!</v>
      </c>
      <c r="AC161" s="1418" t="e">
        <f t="shared" si="11"/>
        <v>#NUM!</v>
      </c>
      <c r="AD161" s="1413">
        <f t="shared" si="11"/>
        <v>0</v>
      </c>
      <c r="AE161" s="1411">
        <v>30</v>
      </c>
      <c r="AF161" s="1411">
        <f t="shared" si="7"/>
        <v>0</v>
      </c>
      <c r="AG161" s="1412" t="e">
        <f t="shared" si="8"/>
        <v>#NUM!</v>
      </c>
      <c r="AH161" s="1415"/>
      <c r="AI161" s="1434"/>
      <c r="AJ161" s="1414"/>
    </row>
    <row r="162" spans="26:36" ht="15">
      <c r="Z162" s="1411">
        <v>97</v>
      </c>
      <c r="AA162" s="1417" t="s">
        <v>2491</v>
      </c>
      <c r="AB162" s="1419" t="e">
        <f t="shared" si="9"/>
        <v>#NUM!</v>
      </c>
      <c r="AC162" s="1418" t="e">
        <f t="shared" si="11"/>
        <v>#NUM!</v>
      </c>
      <c r="AD162" s="1413">
        <f t="shared" si="11"/>
        <v>0</v>
      </c>
      <c r="AE162" s="1411">
        <v>30</v>
      </c>
      <c r="AF162" s="1411">
        <f t="shared" si="7"/>
        <v>0</v>
      </c>
      <c r="AG162" s="1412" t="e">
        <f t="shared" si="8"/>
        <v>#NUM!</v>
      </c>
      <c r="AH162" s="1415" t="e">
        <f>MAX(0,AB162*0.005)</f>
        <v>#NUM!</v>
      </c>
      <c r="AI162" s="1434">
        <v>9</v>
      </c>
      <c r="AJ162" s="1414"/>
    </row>
    <row r="163" spans="26:36" ht="15">
      <c r="Z163" s="1411">
        <v>98</v>
      </c>
      <c r="AA163" s="1417" t="s">
        <v>2491</v>
      </c>
      <c r="AB163" s="1419" t="e">
        <f t="shared" si="9"/>
        <v>#NUM!</v>
      </c>
      <c r="AC163" s="1418" t="e">
        <f t="shared" si="11"/>
        <v>#NUM!</v>
      </c>
      <c r="AD163" s="1413">
        <f t="shared" si="11"/>
        <v>0</v>
      </c>
      <c r="AE163" s="1411">
        <v>30</v>
      </c>
      <c r="AF163" s="1411">
        <f t="shared" si="7"/>
        <v>0</v>
      </c>
      <c r="AG163" s="1412" t="e">
        <f t="shared" si="8"/>
        <v>#NUM!</v>
      </c>
      <c r="AH163" s="1415"/>
      <c r="AI163" s="1434"/>
      <c r="AJ163" s="1414"/>
    </row>
    <row r="164" spans="26:36" ht="15">
      <c r="Z164" s="1411">
        <v>99</v>
      </c>
      <c r="AA164" s="1417" t="s">
        <v>2491</v>
      </c>
      <c r="AB164" s="1419" t="e">
        <f t="shared" si="9"/>
        <v>#NUM!</v>
      </c>
      <c r="AC164" s="1418" t="e">
        <f t="shared" ref="AC164:AD179" si="12">+AC163</f>
        <v>#NUM!</v>
      </c>
      <c r="AD164" s="1413">
        <f t="shared" si="12"/>
        <v>0</v>
      </c>
      <c r="AE164" s="1411">
        <v>30</v>
      </c>
      <c r="AF164" s="1411">
        <f t="shared" si="7"/>
        <v>0</v>
      </c>
      <c r="AG164" s="1412" t="e">
        <f t="shared" si="8"/>
        <v>#NUM!</v>
      </c>
      <c r="AH164" s="1415"/>
      <c r="AI164" s="1434"/>
      <c r="AJ164" s="1414"/>
    </row>
    <row r="165" spans="26:36" ht="15">
      <c r="Z165" s="1411">
        <v>100</v>
      </c>
      <c r="AA165" s="1417" t="s">
        <v>2491</v>
      </c>
      <c r="AB165" s="1419" t="e">
        <f t="shared" si="9"/>
        <v>#NUM!</v>
      </c>
      <c r="AC165" s="1418" t="e">
        <f t="shared" si="12"/>
        <v>#NUM!</v>
      </c>
      <c r="AD165" s="1413">
        <f t="shared" si="12"/>
        <v>0</v>
      </c>
      <c r="AE165" s="1411">
        <v>30</v>
      </c>
      <c r="AF165" s="1411">
        <f t="shared" si="7"/>
        <v>0</v>
      </c>
      <c r="AG165" s="1412" t="e">
        <f t="shared" si="8"/>
        <v>#NUM!</v>
      </c>
      <c r="AH165" s="1415"/>
      <c r="AI165" s="1434"/>
      <c r="AJ165" s="1414"/>
    </row>
    <row r="166" spans="26:36" ht="15">
      <c r="Z166" s="1411">
        <v>101</v>
      </c>
      <c r="AA166" s="1417" t="s">
        <v>2491</v>
      </c>
      <c r="AB166" s="1419" t="e">
        <f t="shared" si="9"/>
        <v>#NUM!</v>
      </c>
      <c r="AC166" s="1418" t="e">
        <f t="shared" si="12"/>
        <v>#NUM!</v>
      </c>
      <c r="AD166" s="1413">
        <f t="shared" si="12"/>
        <v>0</v>
      </c>
      <c r="AE166" s="1411">
        <v>30</v>
      </c>
      <c r="AF166" s="1411">
        <f t="shared" si="7"/>
        <v>0</v>
      </c>
      <c r="AG166" s="1412" t="e">
        <f t="shared" si="8"/>
        <v>#NUM!</v>
      </c>
      <c r="AH166" s="1415"/>
      <c r="AI166" s="1434"/>
      <c r="AJ166" s="1414"/>
    </row>
    <row r="167" spans="26:36" ht="15">
      <c r="Z167" s="1411">
        <v>102</v>
      </c>
      <c r="AA167" s="1417" t="s">
        <v>2491</v>
      </c>
      <c r="AB167" s="1419" t="e">
        <f t="shared" si="9"/>
        <v>#NUM!</v>
      </c>
      <c r="AC167" s="1418" t="e">
        <f t="shared" si="12"/>
        <v>#NUM!</v>
      </c>
      <c r="AD167" s="1413">
        <f t="shared" si="12"/>
        <v>0</v>
      </c>
      <c r="AE167" s="1411">
        <v>30</v>
      </c>
      <c r="AF167" s="1411">
        <f t="shared" si="7"/>
        <v>0</v>
      </c>
      <c r="AG167" s="1412" t="e">
        <f t="shared" si="8"/>
        <v>#NUM!</v>
      </c>
      <c r="AH167" s="1415"/>
      <c r="AI167" s="1434"/>
      <c r="AJ167" s="1414"/>
    </row>
    <row r="168" spans="26:36" ht="15">
      <c r="Z168" s="1411">
        <v>103</v>
      </c>
      <c r="AA168" s="1417" t="s">
        <v>2491</v>
      </c>
      <c r="AB168" s="1419" t="e">
        <f t="shared" si="9"/>
        <v>#NUM!</v>
      </c>
      <c r="AC168" s="1418" t="e">
        <f t="shared" si="12"/>
        <v>#NUM!</v>
      </c>
      <c r="AD168" s="1413">
        <f t="shared" si="12"/>
        <v>0</v>
      </c>
      <c r="AE168" s="1411">
        <v>30</v>
      </c>
      <c r="AF168" s="1411">
        <f t="shared" si="7"/>
        <v>0</v>
      </c>
      <c r="AG168" s="1412" t="e">
        <f t="shared" si="8"/>
        <v>#NUM!</v>
      </c>
      <c r="AH168" s="1415"/>
      <c r="AI168" s="1434"/>
      <c r="AJ168" s="1414"/>
    </row>
    <row r="169" spans="26:36" ht="15">
      <c r="Z169" s="1411">
        <v>104</v>
      </c>
      <c r="AA169" s="1417" t="s">
        <v>2491</v>
      </c>
      <c r="AB169" s="1419" t="e">
        <f t="shared" si="9"/>
        <v>#NUM!</v>
      </c>
      <c r="AC169" s="1418" t="e">
        <f t="shared" si="12"/>
        <v>#NUM!</v>
      </c>
      <c r="AD169" s="1413">
        <f t="shared" si="12"/>
        <v>0</v>
      </c>
      <c r="AE169" s="1411">
        <v>30</v>
      </c>
      <c r="AF169" s="1411">
        <f t="shared" si="7"/>
        <v>0</v>
      </c>
      <c r="AG169" s="1412" t="e">
        <f t="shared" si="8"/>
        <v>#NUM!</v>
      </c>
      <c r="AH169" s="1415"/>
      <c r="AI169" s="1434"/>
      <c r="AJ169" s="1414"/>
    </row>
    <row r="170" spans="26:36" ht="15">
      <c r="Z170" s="1411">
        <v>105</v>
      </c>
      <c r="AA170" s="1417" t="s">
        <v>2491</v>
      </c>
      <c r="AB170" s="1419" t="e">
        <f t="shared" si="9"/>
        <v>#NUM!</v>
      </c>
      <c r="AC170" s="1418" t="e">
        <f t="shared" si="12"/>
        <v>#NUM!</v>
      </c>
      <c r="AD170" s="1413">
        <f t="shared" si="12"/>
        <v>0</v>
      </c>
      <c r="AE170" s="1411">
        <v>30</v>
      </c>
      <c r="AF170" s="1411">
        <f t="shared" si="7"/>
        <v>0</v>
      </c>
      <c r="AG170" s="1412" t="e">
        <f t="shared" si="8"/>
        <v>#NUM!</v>
      </c>
      <c r="AH170" s="1415"/>
      <c r="AI170" s="1434"/>
      <c r="AJ170" s="1414"/>
    </row>
    <row r="171" spans="26:36" ht="15">
      <c r="Z171" s="1411">
        <v>106</v>
      </c>
      <c r="AA171" s="1417" t="s">
        <v>2491</v>
      </c>
      <c r="AB171" s="1419" t="e">
        <f t="shared" si="9"/>
        <v>#NUM!</v>
      </c>
      <c r="AC171" s="1418" t="e">
        <f t="shared" si="12"/>
        <v>#NUM!</v>
      </c>
      <c r="AD171" s="1413">
        <f t="shared" si="12"/>
        <v>0</v>
      </c>
      <c r="AE171" s="1411">
        <v>30</v>
      </c>
      <c r="AF171" s="1411">
        <f t="shared" si="7"/>
        <v>0</v>
      </c>
      <c r="AG171" s="1412" t="e">
        <f t="shared" si="8"/>
        <v>#NUM!</v>
      </c>
      <c r="AH171" s="1415"/>
      <c r="AI171" s="1434"/>
      <c r="AJ171" s="1414"/>
    </row>
    <row r="172" spans="26:36" ht="15">
      <c r="Z172" s="1411">
        <v>107</v>
      </c>
      <c r="AA172" s="1417" t="s">
        <v>2491</v>
      </c>
      <c r="AB172" s="1419" t="e">
        <f t="shared" si="9"/>
        <v>#NUM!</v>
      </c>
      <c r="AC172" s="1418" t="e">
        <f t="shared" si="12"/>
        <v>#NUM!</v>
      </c>
      <c r="AD172" s="1413">
        <f t="shared" si="12"/>
        <v>0</v>
      </c>
      <c r="AE172" s="1411">
        <v>30</v>
      </c>
      <c r="AF172" s="1411">
        <f t="shared" si="7"/>
        <v>0</v>
      </c>
      <c r="AG172" s="1412" t="e">
        <f t="shared" si="8"/>
        <v>#NUM!</v>
      </c>
      <c r="AH172" s="1415"/>
      <c r="AI172" s="1434"/>
      <c r="AJ172" s="1414"/>
    </row>
    <row r="173" spans="26:36" ht="15">
      <c r="Z173" s="1411">
        <v>108</v>
      </c>
      <c r="AA173" s="1417" t="s">
        <v>2491</v>
      </c>
      <c r="AB173" s="1419" t="e">
        <f t="shared" si="9"/>
        <v>#NUM!</v>
      </c>
      <c r="AC173" s="1418" t="e">
        <f t="shared" si="12"/>
        <v>#NUM!</v>
      </c>
      <c r="AD173" s="1413">
        <f t="shared" si="12"/>
        <v>0</v>
      </c>
      <c r="AE173" s="1411">
        <v>30</v>
      </c>
      <c r="AF173" s="1411">
        <f t="shared" si="7"/>
        <v>0</v>
      </c>
      <c r="AG173" s="1412" t="e">
        <f t="shared" si="8"/>
        <v>#NUM!</v>
      </c>
      <c r="AH173" s="1415"/>
      <c r="AI173" s="1434"/>
      <c r="AJ173" s="1414"/>
    </row>
    <row r="174" spans="26:36" ht="15">
      <c r="Z174" s="1411">
        <v>109</v>
      </c>
      <c r="AA174" s="1417" t="s">
        <v>2491</v>
      </c>
      <c r="AB174" s="1419" t="e">
        <f t="shared" si="9"/>
        <v>#NUM!</v>
      </c>
      <c r="AC174" s="1418" t="e">
        <f t="shared" si="12"/>
        <v>#NUM!</v>
      </c>
      <c r="AD174" s="1413">
        <f t="shared" si="12"/>
        <v>0</v>
      </c>
      <c r="AE174" s="1411">
        <v>30</v>
      </c>
      <c r="AF174" s="1411">
        <f t="shared" si="7"/>
        <v>0</v>
      </c>
      <c r="AG174" s="1412" t="e">
        <f t="shared" si="8"/>
        <v>#NUM!</v>
      </c>
      <c r="AH174" s="1415" t="e">
        <f>MAX(0,AB174*0.005)</f>
        <v>#NUM!</v>
      </c>
      <c r="AI174" s="1434">
        <v>10</v>
      </c>
      <c r="AJ174" s="1414"/>
    </row>
    <row r="175" spans="26:36" ht="15">
      <c r="Z175" s="1411">
        <v>110</v>
      </c>
      <c r="AA175" s="1417" t="s">
        <v>2491</v>
      </c>
      <c r="AB175" s="1419" t="e">
        <f t="shared" si="9"/>
        <v>#NUM!</v>
      </c>
      <c r="AC175" s="1418" t="e">
        <f t="shared" si="12"/>
        <v>#NUM!</v>
      </c>
      <c r="AD175" s="1413">
        <f t="shared" si="12"/>
        <v>0</v>
      </c>
      <c r="AE175" s="1411">
        <v>30</v>
      </c>
      <c r="AF175" s="1411">
        <f t="shared" si="7"/>
        <v>0</v>
      </c>
      <c r="AG175" s="1412" t="e">
        <f t="shared" si="8"/>
        <v>#NUM!</v>
      </c>
      <c r="AH175" s="1415"/>
      <c r="AI175" s="1434"/>
      <c r="AJ175" s="1414"/>
    </row>
    <row r="176" spans="26:36" ht="15">
      <c r="Z176" s="1411">
        <v>111</v>
      </c>
      <c r="AA176" s="1417" t="s">
        <v>2491</v>
      </c>
      <c r="AB176" s="1419" t="e">
        <f t="shared" si="9"/>
        <v>#NUM!</v>
      </c>
      <c r="AC176" s="1418" t="e">
        <f t="shared" si="12"/>
        <v>#NUM!</v>
      </c>
      <c r="AD176" s="1413">
        <f t="shared" si="12"/>
        <v>0</v>
      </c>
      <c r="AE176" s="1411">
        <v>30</v>
      </c>
      <c r="AF176" s="1411">
        <f t="shared" si="7"/>
        <v>0</v>
      </c>
      <c r="AG176" s="1412" t="e">
        <f t="shared" si="8"/>
        <v>#NUM!</v>
      </c>
      <c r="AH176" s="1415"/>
      <c r="AI176" s="1434"/>
      <c r="AJ176" s="1414"/>
    </row>
    <row r="177" spans="26:36" ht="15">
      <c r="Z177" s="1411">
        <v>112</v>
      </c>
      <c r="AA177" s="1417" t="s">
        <v>2491</v>
      </c>
      <c r="AB177" s="1419" t="e">
        <f t="shared" si="9"/>
        <v>#NUM!</v>
      </c>
      <c r="AC177" s="1418" t="e">
        <f t="shared" si="12"/>
        <v>#NUM!</v>
      </c>
      <c r="AD177" s="1413">
        <f t="shared" si="12"/>
        <v>0</v>
      </c>
      <c r="AE177" s="1411">
        <v>30</v>
      </c>
      <c r="AF177" s="1411">
        <f t="shared" si="7"/>
        <v>0</v>
      </c>
      <c r="AG177" s="1412" t="e">
        <f t="shared" si="8"/>
        <v>#NUM!</v>
      </c>
      <c r="AH177" s="1415"/>
      <c r="AI177" s="1434"/>
      <c r="AJ177" s="1414"/>
    </row>
    <row r="178" spans="26:36" ht="15">
      <c r="Z178" s="1411">
        <v>113</v>
      </c>
      <c r="AA178" s="1417" t="s">
        <v>2491</v>
      </c>
      <c r="AB178" s="1419" t="e">
        <f t="shared" si="9"/>
        <v>#NUM!</v>
      </c>
      <c r="AC178" s="1418" t="e">
        <f t="shared" si="12"/>
        <v>#NUM!</v>
      </c>
      <c r="AD178" s="1413">
        <f t="shared" si="12"/>
        <v>0</v>
      </c>
      <c r="AE178" s="1411">
        <v>30</v>
      </c>
      <c r="AF178" s="1411">
        <f t="shared" si="7"/>
        <v>0</v>
      </c>
      <c r="AG178" s="1412" t="e">
        <f t="shared" si="8"/>
        <v>#NUM!</v>
      </c>
      <c r="AH178" s="1415"/>
      <c r="AI178" s="1434"/>
      <c r="AJ178" s="1414"/>
    </row>
    <row r="179" spans="26:36" ht="15">
      <c r="Z179" s="1411">
        <v>114</v>
      </c>
      <c r="AA179" s="1417" t="s">
        <v>2491</v>
      </c>
      <c r="AB179" s="1419" t="e">
        <f t="shared" si="9"/>
        <v>#NUM!</v>
      </c>
      <c r="AC179" s="1418" t="e">
        <f t="shared" si="12"/>
        <v>#NUM!</v>
      </c>
      <c r="AD179" s="1413">
        <f t="shared" si="12"/>
        <v>0</v>
      </c>
      <c r="AE179" s="1411">
        <v>30</v>
      </c>
      <c r="AF179" s="1411">
        <f t="shared" si="7"/>
        <v>0</v>
      </c>
      <c r="AG179" s="1412" t="e">
        <f t="shared" si="8"/>
        <v>#NUM!</v>
      </c>
      <c r="AH179" s="1415"/>
      <c r="AI179" s="1434"/>
      <c r="AJ179" s="1414"/>
    </row>
    <row r="180" spans="26:36" ht="15">
      <c r="Z180" s="1411">
        <v>115</v>
      </c>
      <c r="AA180" s="1417" t="s">
        <v>2491</v>
      </c>
      <c r="AB180" s="1419" t="e">
        <f t="shared" si="9"/>
        <v>#NUM!</v>
      </c>
      <c r="AC180" s="1418" t="e">
        <f t="shared" ref="AC180:AD195" si="13">+AC179</f>
        <v>#NUM!</v>
      </c>
      <c r="AD180" s="1413">
        <f t="shared" si="13"/>
        <v>0</v>
      </c>
      <c r="AE180" s="1411">
        <v>30</v>
      </c>
      <c r="AF180" s="1411">
        <f t="shared" si="7"/>
        <v>0</v>
      </c>
      <c r="AG180" s="1412" t="e">
        <f t="shared" si="8"/>
        <v>#NUM!</v>
      </c>
      <c r="AH180" s="1415"/>
      <c r="AI180" s="1434"/>
      <c r="AJ180" s="1414"/>
    </row>
    <row r="181" spans="26:36" ht="15">
      <c r="Z181" s="1411">
        <v>116</v>
      </c>
      <c r="AA181" s="1417" t="s">
        <v>2491</v>
      </c>
      <c r="AB181" s="1419" t="e">
        <f t="shared" si="9"/>
        <v>#NUM!</v>
      </c>
      <c r="AC181" s="1418" t="e">
        <f t="shared" si="13"/>
        <v>#NUM!</v>
      </c>
      <c r="AD181" s="1413">
        <f t="shared" si="13"/>
        <v>0</v>
      </c>
      <c r="AE181" s="1411">
        <v>30</v>
      </c>
      <c r="AF181" s="1411">
        <f t="shared" si="7"/>
        <v>0</v>
      </c>
      <c r="AG181" s="1412" t="e">
        <f t="shared" si="8"/>
        <v>#NUM!</v>
      </c>
      <c r="AH181" s="1415"/>
      <c r="AI181" s="1434"/>
      <c r="AJ181" s="1414"/>
    </row>
    <row r="182" spans="26:36" ht="15">
      <c r="Z182" s="1411">
        <v>117</v>
      </c>
      <c r="AA182" s="1417" t="s">
        <v>2491</v>
      </c>
      <c r="AB182" s="1419" t="e">
        <f t="shared" si="9"/>
        <v>#NUM!</v>
      </c>
      <c r="AC182" s="1418" t="e">
        <f t="shared" si="13"/>
        <v>#NUM!</v>
      </c>
      <c r="AD182" s="1413">
        <f t="shared" si="13"/>
        <v>0</v>
      </c>
      <c r="AE182" s="1411">
        <v>30</v>
      </c>
      <c r="AF182" s="1411">
        <f t="shared" si="7"/>
        <v>0</v>
      </c>
      <c r="AG182" s="1412" t="e">
        <f t="shared" si="8"/>
        <v>#NUM!</v>
      </c>
      <c r="AH182" s="1415"/>
      <c r="AI182" s="1434"/>
      <c r="AJ182" s="1414"/>
    </row>
    <row r="183" spans="26:36" ht="15">
      <c r="Z183" s="1411">
        <v>118</v>
      </c>
      <c r="AA183" s="1417" t="s">
        <v>2491</v>
      </c>
      <c r="AB183" s="1419" t="e">
        <f t="shared" si="9"/>
        <v>#NUM!</v>
      </c>
      <c r="AC183" s="1418" t="e">
        <f t="shared" si="13"/>
        <v>#NUM!</v>
      </c>
      <c r="AD183" s="1413">
        <f t="shared" si="13"/>
        <v>0</v>
      </c>
      <c r="AE183" s="1411">
        <v>30</v>
      </c>
      <c r="AF183" s="1411">
        <f t="shared" si="7"/>
        <v>0</v>
      </c>
      <c r="AG183" s="1412" t="e">
        <f t="shared" si="8"/>
        <v>#NUM!</v>
      </c>
      <c r="AH183" s="1415"/>
      <c r="AI183" s="1434"/>
      <c r="AJ183" s="1414"/>
    </row>
    <row r="184" spans="26:36" ht="15">
      <c r="Z184" s="1411">
        <v>119</v>
      </c>
      <c r="AA184" s="1417" t="s">
        <v>2491</v>
      </c>
      <c r="AB184" s="1419" t="e">
        <f t="shared" si="9"/>
        <v>#NUM!</v>
      </c>
      <c r="AC184" s="1418" t="e">
        <f t="shared" si="13"/>
        <v>#NUM!</v>
      </c>
      <c r="AD184" s="1413">
        <f t="shared" si="13"/>
        <v>0</v>
      </c>
      <c r="AE184" s="1411">
        <v>30</v>
      </c>
      <c r="AF184" s="1411">
        <f t="shared" si="7"/>
        <v>0</v>
      </c>
      <c r="AG184" s="1412" t="e">
        <f t="shared" si="8"/>
        <v>#NUM!</v>
      </c>
      <c r="AH184" s="1415"/>
      <c r="AI184" s="1434"/>
      <c r="AJ184" s="1414"/>
    </row>
    <row r="185" spans="26:36" ht="15">
      <c r="Z185" s="1411">
        <v>120</v>
      </c>
      <c r="AA185" s="1417" t="s">
        <v>2491</v>
      </c>
      <c r="AB185" s="1419" t="e">
        <f t="shared" si="9"/>
        <v>#NUM!</v>
      </c>
      <c r="AC185" s="1418" t="e">
        <f t="shared" si="13"/>
        <v>#NUM!</v>
      </c>
      <c r="AD185" s="1413">
        <f t="shared" si="13"/>
        <v>0</v>
      </c>
      <c r="AE185" s="1411">
        <v>30</v>
      </c>
      <c r="AF185" s="1411">
        <f t="shared" si="7"/>
        <v>0</v>
      </c>
      <c r="AG185" s="1412" t="e">
        <f t="shared" si="8"/>
        <v>#NUM!</v>
      </c>
      <c r="AH185" s="1415"/>
      <c r="AI185" s="1434"/>
      <c r="AJ185" s="1414"/>
    </row>
    <row r="186" spans="26:36" ht="15">
      <c r="Z186" s="1411">
        <v>121</v>
      </c>
      <c r="AA186" s="1417" t="s">
        <v>2491</v>
      </c>
      <c r="AB186" s="1419" t="e">
        <f t="shared" si="9"/>
        <v>#NUM!</v>
      </c>
      <c r="AC186" s="1418" t="e">
        <f t="shared" si="13"/>
        <v>#NUM!</v>
      </c>
      <c r="AD186" s="1413">
        <f t="shared" si="13"/>
        <v>0</v>
      </c>
      <c r="AE186" s="1411">
        <v>30</v>
      </c>
      <c r="AF186" s="1411">
        <f t="shared" si="7"/>
        <v>0</v>
      </c>
      <c r="AG186" s="1412" t="e">
        <f t="shared" si="8"/>
        <v>#NUM!</v>
      </c>
      <c r="AH186" s="1415" t="e">
        <f>MAX(0,AB186*0.005)</f>
        <v>#NUM!</v>
      </c>
      <c r="AI186" s="1434">
        <v>11</v>
      </c>
      <c r="AJ186" s="1414"/>
    </row>
    <row r="187" spans="26:36" ht="15">
      <c r="Z187" s="1411">
        <v>122</v>
      </c>
      <c r="AA187" s="1417" t="s">
        <v>2491</v>
      </c>
      <c r="AB187" s="1419" t="e">
        <f t="shared" si="9"/>
        <v>#NUM!</v>
      </c>
      <c r="AC187" s="1418" t="e">
        <f t="shared" si="13"/>
        <v>#NUM!</v>
      </c>
      <c r="AD187" s="1413">
        <f t="shared" si="13"/>
        <v>0</v>
      </c>
      <c r="AE187" s="1411">
        <v>30</v>
      </c>
      <c r="AF187" s="1411">
        <f t="shared" si="7"/>
        <v>0</v>
      </c>
      <c r="AG187" s="1412" t="e">
        <f t="shared" si="8"/>
        <v>#NUM!</v>
      </c>
      <c r="AH187" s="1415"/>
      <c r="AI187" s="1434"/>
      <c r="AJ187" s="1414"/>
    </row>
    <row r="188" spans="26:36" ht="15">
      <c r="Z188" s="1411">
        <v>123</v>
      </c>
      <c r="AA188" s="1417" t="s">
        <v>2491</v>
      </c>
      <c r="AB188" s="1419" t="e">
        <f t="shared" si="9"/>
        <v>#NUM!</v>
      </c>
      <c r="AC188" s="1418" t="e">
        <f t="shared" si="13"/>
        <v>#NUM!</v>
      </c>
      <c r="AD188" s="1413">
        <f t="shared" si="13"/>
        <v>0</v>
      </c>
      <c r="AE188" s="1411">
        <v>30</v>
      </c>
      <c r="AF188" s="1411">
        <f t="shared" si="7"/>
        <v>0</v>
      </c>
      <c r="AG188" s="1412" t="e">
        <f t="shared" si="8"/>
        <v>#NUM!</v>
      </c>
      <c r="AH188" s="1415"/>
      <c r="AI188" s="1434"/>
      <c r="AJ188" s="1414"/>
    </row>
    <row r="189" spans="26:36" ht="15">
      <c r="Z189" s="1411">
        <v>124</v>
      </c>
      <c r="AA189" s="1417" t="s">
        <v>2491</v>
      </c>
      <c r="AB189" s="1419" t="e">
        <f t="shared" si="9"/>
        <v>#NUM!</v>
      </c>
      <c r="AC189" s="1418" t="e">
        <f t="shared" si="13"/>
        <v>#NUM!</v>
      </c>
      <c r="AD189" s="1413">
        <f t="shared" si="13"/>
        <v>0</v>
      </c>
      <c r="AE189" s="1411">
        <v>30</v>
      </c>
      <c r="AF189" s="1411">
        <f t="shared" si="7"/>
        <v>0</v>
      </c>
      <c r="AG189" s="1412" t="e">
        <f t="shared" si="8"/>
        <v>#NUM!</v>
      </c>
      <c r="AH189" s="1415"/>
      <c r="AI189" s="1434"/>
      <c r="AJ189" s="1414"/>
    </row>
    <row r="190" spans="26:36" ht="15">
      <c r="Z190" s="1411">
        <v>125</v>
      </c>
      <c r="AA190" s="1417" t="s">
        <v>2491</v>
      </c>
      <c r="AB190" s="1419" t="e">
        <f t="shared" si="9"/>
        <v>#NUM!</v>
      </c>
      <c r="AC190" s="1418" t="e">
        <f t="shared" si="13"/>
        <v>#NUM!</v>
      </c>
      <c r="AD190" s="1413">
        <f t="shared" si="13"/>
        <v>0</v>
      </c>
      <c r="AE190" s="1411">
        <v>30</v>
      </c>
      <c r="AF190" s="1411">
        <f t="shared" si="7"/>
        <v>0</v>
      </c>
      <c r="AG190" s="1412" t="e">
        <f t="shared" si="8"/>
        <v>#NUM!</v>
      </c>
      <c r="AH190" s="1415"/>
      <c r="AI190" s="1434"/>
      <c r="AJ190" s="1414"/>
    </row>
    <row r="191" spans="26:36" ht="15">
      <c r="Z191" s="1411">
        <v>126</v>
      </c>
      <c r="AA191" s="1417" t="s">
        <v>2491</v>
      </c>
      <c r="AB191" s="1419" t="e">
        <f t="shared" si="9"/>
        <v>#NUM!</v>
      </c>
      <c r="AC191" s="1418" t="e">
        <f t="shared" si="13"/>
        <v>#NUM!</v>
      </c>
      <c r="AD191" s="1413">
        <f t="shared" si="13"/>
        <v>0</v>
      </c>
      <c r="AE191" s="1411">
        <v>30</v>
      </c>
      <c r="AF191" s="1411">
        <f t="shared" si="7"/>
        <v>0</v>
      </c>
      <c r="AG191" s="1412" t="e">
        <f t="shared" si="8"/>
        <v>#NUM!</v>
      </c>
      <c r="AH191" s="1415"/>
      <c r="AI191" s="1434"/>
      <c r="AJ191" s="1414"/>
    </row>
    <row r="192" spans="26:36" ht="15">
      <c r="Z192" s="1411">
        <v>127</v>
      </c>
      <c r="AA192" s="1417" t="s">
        <v>2491</v>
      </c>
      <c r="AB192" s="1419" t="e">
        <f t="shared" si="9"/>
        <v>#NUM!</v>
      </c>
      <c r="AC192" s="1418" t="e">
        <f t="shared" si="13"/>
        <v>#NUM!</v>
      </c>
      <c r="AD192" s="1413">
        <f t="shared" si="13"/>
        <v>0</v>
      </c>
      <c r="AE192" s="1411">
        <v>30</v>
      </c>
      <c r="AF192" s="1411">
        <f t="shared" si="7"/>
        <v>0</v>
      </c>
      <c r="AG192" s="1412" t="e">
        <f t="shared" si="8"/>
        <v>#NUM!</v>
      </c>
      <c r="AH192" s="1415"/>
      <c r="AI192" s="1434"/>
      <c r="AJ192" s="1414"/>
    </row>
    <row r="193" spans="26:36" ht="15">
      <c r="Z193" s="1411">
        <v>128</v>
      </c>
      <c r="AA193" s="1417" t="s">
        <v>2491</v>
      </c>
      <c r="AB193" s="1419" t="e">
        <f t="shared" si="9"/>
        <v>#NUM!</v>
      </c>
      <c r="AC193" s="1418" t="e">
        <f t="shared" si="13"/>
        <v>#NUM!</v>
      </c>
      <c r="AD193" s="1413">
        <f t="shared" si="13"/>
        <v>0</v>
      </c>
      <c r="AE193" s="1411">
        <v>30</v>
      </c>
      <c r="AF193" s="1411">
        <f t="shared" si="7"/>
        <v>0</v>
      </c>
      <c r="AG193" s="1412" t="e">
        <f t="shared" si="8"/>
        <v>#NUM!</v>
      </c>
      <c r="AH193" s="1415"/>
      <c r="AI193" s="1434"/>
      <c r="AJ193" s="1414"/>
    </row>
    <row r="194" spans="26:36" ht="15">
      <c r="Z194" s="1411">
        <v>129</v>
      </c>
      <c r="AA194" s="1417" t="s">
        <v>2491</v>
      </c>
      <c r="AB194" s="1419" t="e">
        <f t="shared" si="9"/>
        <v>#NUM!</v>
      </c>
      <c r="AC194" s="1418" t="e">
        <f t="shared" si="13"/>
        <v>#NUM!</v>
      </c>
      <c r="AD194" s="1413">
        <f t="shared" si="13"/>
        <v>0</v>
      </c>
      <c r="AE194" s="1411">
        <v>30</v>
      </c>
      <c r="AF194" s="1411">
        <f t="shared" ref="AF194:AF257" si="14">AD194/360</f>
        <v>0</v>
      </c>
      <c r="AG194" s="1412" t="e">
        <f t="shared" ref="AG194:AG257" si="15">+AB194*AE194*AF194</f>
        <v>#NUM!</v>
      </c>
      <c r="AH194" s="1415"/>
      <c r="AI194" s="1434"/>
      <c r="AJ194" s="1414"/>
    </row>
    <row r="195" spans="26:36" ht="15">
      <c r="Z195" s="1411">
        <v>130</v>
      </c>
      <c r="AA195" s="1417" t="s">
        <v>2491</v>
      </c>
      <c r="AB195" s="1419" t="e">
        <f t="shared" ref="AB195:AB258" si="16">+AB194-AC194+AG194</f>
        <v>#NUM!</v>
      </c>
      <c r="AC195" s="1418" t="e">
        <f t="shared" si="13"/>
        <v>#NUM!</v>
      </c>
      <c r="AD195" s="1413">
        <f t="shared" si="13"/>
        <v>0</v>
      </c>
      <c r="AE195" s="1411">
        <v>30</v>
      </c>
      <c r="AF195" s="1411">
        <f t="shared" si="14"/>
        <v>0</v>
      </c>
      <c r="AG195" s="1412" t="e">
        <f t="shared" si="15"/>
        <v>#NUM!</v>
      </c>
      <c r="AH195" s="1415"/>
      <c r="AI195" s="1434"/>
      <c r="AJ195" s="1414"/>
    </row>
    <row r="196" spans="26:36" ht="15">
      <c r="Z196" s="1411">
        <v>131</v>
      </c>
      <c r="AA196" s="1417" t="s">
        <v>2491</v>
      </c>
      <c r="AB196" s="1419" t="e">
        <f t="shared" si="16"/>
        <v>#NUM!</v>
      </c>
      <c r="AC196" s="1418" t="e">
        <f t="shared" ref="AC196:AD211" si="17">+AC195</f>
        <v>#NUM!</v>
      </c>
      <c r="AD196" s="1413">
        <f t="shared" si="17"/>
        <v>0</v>
      </c>
      <c r="AE196" s="1411">
        <v>30</v>
      </c>
      <c r="AF196" s="1411">
        <f t="shared" si="14"/>
        <v>0</v>
      </c>
      <c r="AG196" s="1412" t="e">
        <f t="shared" si="15"/>
        <v>#NUM!</v>
      </c>
      <c r="AH196" s="1415"/>
      <c r="AI196" s="1434"/>
      <c r="AJ196" s="1414"/>
    </row>
    <row r="197" spans="26:36" ht="15">
      <c r="Z197" s="1411">
        <v>132</v>
      </c>
      <c r="AA197" s="1417" t="s">
        <v>2491</v>
      </c>
      <c r="AB197" s="1419" t="e">
        <f t="shared" si="16"/>
        <v>#NUM!</v>
      </c>
      <c r="AC197" s="1418" t="e">
        <f t="shared" si="17"/>
        <v>#NUM!</v>
      </c>
      <c r="AD197" s="1413">
        <f t="shared" si="17"/>
        <v>0</v>
      </c>
      <c r="AE197" s="1411">
        <v>30</v>
      </c>
      <c r="AF197" s="1411">
        <f t="shared" si="14"/>
        <v>0</v>
      </c>
      <c r="AG197" s="1412" t="e">
        <f t="shared" si="15"/>
        <v>#NUM!</v>
      </c>
      <c r="AH197" s="1415"/>
      <c r="AI197" s="1434"/>
      <c r="AJ197" s="1414"/>
    </row>
    <row r="198" spans="26:36" ht="15">
      <c r="Z198" s="1411">
        <v>133</v>
      </c>
      <c r="AA198" s="1417" t="s">
        <v>2491</v>
      </c>
      <c r="AB198" s="1419" t="e">
        <f t="shared" si="16"/>
        <v>#NUM!</v>
      </c>
      <c r="AC198" s="1418" t="e">
        <f t="shared" si="17"/>
        <v>#NUM!</v>
      </c>
      <c r="AD198" s="1413">
        <f t="shared" si="17"/>
        <v>0</v>
      </c>
      <c r="AE198" s="1411">
        <v>30</v>
      </c>
      <c r="AF198" s="1411">
        <f t="shared" si="14"/>
        <v>0</v>
      </c>
      <c r="AG198" s="1412" t="e">
        <f t="shared" si="15"/>
        <v>#NUM!</v>
      </c>
      <c r="AH198" s="1415" t="e">
        <f>MAX(0,AB198*0.005)</f>
        <v>#NUM!</v>
      </c>
      <c r="AI198" s="1434">
        <v>12</v>
      </c>
      <c r="AJ198" s="1414"/>
    </row>
    <row r="199" spans="26:36" ht="15">
      <c r="Z199" s="1411">
        <v>134</v>
      </c>
      <c r="AA199" s="1417" t="s">
        <v>2491</v>
      </c>
      <c r="AB199" s="1419" t="e">
        <f t="shared" si="16"/>
        <v>#NUM!</v>
      </c>
      <c r="AC199" s="1418" t="e">
        <f t="shared" si="17"/>
        <v>#NUM!</v>
      </c>
      <c r="AD199" s="1413">
        <f t="shared" si="17"/>
        <v>0</v>
      </c>
      <c r="AE199" s="1411">
        <v>30</v>
      </c>
      <c r="AF199" s="1411">
        <f t="shared" si="14"/>
        <v>0</v>
      </c>
      <c r="AG199" s="1412" t="e">
        <f t="shared" si="15"/>
        <v>#NUM!</v>
      </c>
      <c r="AH199" s="1415"/>
      <c r="AI199" s="1434"/>
      <c r="AJ199" s="1414"/>
    </row>
    <row r="200" spans="26:36" ht="15">
      <c r="Z200" s="1411">
        <v>135</v>
      </c>
      <c r="AA200" s="1417" t="s">
        <v>2491</v>
      </c>
      <c r="AB200" s="1419" t="e">
        <f t="shared" si="16"/>
        <v>#NUM!</v>
      </c>
      <c r="AC200" s="1418" t="e">
        <f t="shared" si="17"/>
        <v>#NUM!</v>
      </c>
      <c r="AD200" s="1413">
        <f t="shared" si="17"/>
        <v>0</v>
      </c>
      <c r="AE200" s="1411">
        <v>30</v>
      </c>
      <c r="AF200" s="1411">
        <f t="shared" si="14"/>
        <v>0</v>
      </c>
      <c r="AG200" s="1412" t="e">
        <f t="shared" si="15"/>
        <v>#NUM!</v>
      </c>
      <c r="AH200" s="1415"/>
      <c r="AI200" s="1434"/>
      <c r="AJ200" s="1414"/>
    </row>
    <row r="201" spans="26:36" ht="15">
      <c r="Z201" s="1411">
        <v>136</v>
      </c>
      <c r="AA201" s="1417" t="s">
        <v>2491</v>
      </c>
      <c r="AB201" s="1419" t="e">
        <f t="shared" si="16"/>
        <v>#NUM!</v>
      </c>
      <c r="AC201" s="1418" t="e">
        <f t="shared" si="17"/>
        <v>#NUM!</v>
      </c>
      <c r="AD201" s="1413">
        <f t="shared" si="17"/>
        <v>0</v>
      </c>
      <c r="AE201" s="1411">
        <v>30</v>
      </c>
      <c r="AF201" s="1411">
        <f t="shared" si="14"/>
        <v>0</v>
      </c>
      <c r="AG201" s="1412" t="e">
        <f t="shared" si="15"/>
        <v>#NUM!</v>
      </c>
      <c r="AH201" s="1415"/>
      <c r="AI201" s="1434"/>
      <c r="AJ201" s="1414"/>
    </row>
    <row r="202" spans="26:36" ht="15">
      <c r="Z202" s="1411">
        <v>137</v>
      </c>
      <c r="AA202" s="1417" t="s">
        <v>2491</v>
      </c>
      <c r="AB202" s="1419" t="e">
        <f t="shared" si="16"/>
        <v>#NUM!</v>
      </c>
      <c r="AC202" s="1418" t="e">
        <f t="shared" si="17"/>
        <v>#NUM!</v>
      </c>
      <c r="AD202" s="1413">
        <f t="shared" si="17"/>
        <v>0</v>
      </c>
      <c r="AE202" s="1411">
        <v>30</v>
      </c>
      <c r="AF202" s="1411">
        <f t="shared" si="14"/>
        <v>0</v>
      </c>
      <c r="AG202" s="1412" t="e">
        <f t="shared" si="15"/>
        <v>#NUM!</v>
      </c>
      <c r="AH202" s="1415"/>
      <c r="AI202" s="1434"/>
      <c r="AJ202" s="1414"/>
    </row>
    <row r="203" spans="26:36" ht="15">
      <c r="Z203" s="1411">
        <v>138</v>
      </c>
      <c r="AA203" s="1417" t="s">
        <v>2491</v>
      </c>
      <c r="AB203" s="1419" t="e">
        <f t="shared" si="16"/>
        <v>#NUM!</v>
      </c>
      <c r="AC203" s="1418" t="e">
        <f t="shared" si="17"/>
        <v>#NUM!</v>
      </c>
      <c r="AD203" s="1413">
        <f t="shared" si="17"/>
        <v>0</v>
      </c>
      <c r="AE203" s="1411">
        <v>30</v>
      </c>
      <c r="AF203" s="1411">
        <f t="shared" si="14"/>
        <v>0</v>
      </c>
      <c r="AG203" s="1412" t="e">
        <f t="shared" si="15"/>
        <v>#NUM!</v>
      </c>
      <c r="AH203" s="1415"/>
      <c r="AI203" s="1434"/>
      <c r="AJ203" s="1414"/>
    </row>
    <row r="204" spans="26:36" ht="15">
      <c r="Z204" s="1411">
        <v>139</v>
      </c>
      <c r="AA204" s="1417" t="s">
        <v>2491</v>
      </c>
      <c r="AB204" s="1419" t="e">
        <f t="shared" si="16"/>
        <v>#NUM!</v>
      </c>
      <c r="AC204" s="1418" t="e">
        <f t="shared" si="17"/>
        <v>#NUM!</v>
      </c>
      <c r="AD204" s="1413">
        <f t="shared" si="17"/>
        <v>0</v>
      </c>
      <c r="AE204" s="1411">
        <v>30</v>
      </c>
      <c r="AF204" s="1411">
        <f t="shared" si="14"/>
        <v>0</v>
      </c>
      <c r="AG204" s="1412" t="e">
        <f t="shared" si="15"/>
        <v>#NUM!</v>
      </c>
      <c r="AH204" s="1415"/>
      <c r="AI204" s="1434"/>
      <c r="AJ204" s="1414"/>
    </row>
    <row r="205" spans="26:36" ht="15">
      <c r="Z205" s="1411">
        <v>140</v>
      </c>
      <c r="AA205" s="1417" t="s">
        <v>2491</v>
      </c>
      <c r="AB205" s="1419" t="e">
        <f t="shared" si="16"/>
        <v>#NUM!</v>
      </c>
      <c r="AC205" s="1418" t="e">
        <f t="shared" si="17"/>
        <v>#NUM!</v>
      </c>
      <c r="AD205" s="1413">
        <f t="shared" si="17"/>
        <v>0</v>
      </c>
      <c r="AE205" s="1411">
        <v>30</v>
      </c>
      <c r="AF205" s="1411">
        <f t="shared" si="14"/>
        <v>0</v>
      </c>
      <c r="AG205" s="1412" t="e">
        <f t="shared" si="15"/>
        <v>#NUM!</v>
      </c>
      <c r="AH205" s="1415"/>
      <c r="AI205" s="1434"/>
      <c r="AJ205" s="1414"/>
    </row>
    <row r="206" spans="26:36" ht="15">
      <c r="Z206" s="1411">
        <v>141</v>
      </c>
      <c r="AA206" s="1417" t="s">
        <v>2491</v>
      </c>
      <c r="AB206" s="1419" t="e">
        <f t="shared" si="16"/>
        <v>#NUM!</v>
      </c>
      <c r="AC206" s="1418" t="e">
        <f t="shared" si="17"/>
        <v>#NUM!</v>
      </c>
      <c r="AD206" s="1413">
        <f t="shared" si="17"/>
        <v>0</v>
      </c>
      <c r="AE206" s="1411">
        <v>30</v>
      </c>
      <c r="AF206" s="1411">
        <f t="shared" si="14"/>
        <v>0</v>
      </c>
      <c r="AG206" s="1412" t="e">
        <f t="shared" si="15"/>
        <v>#NUM!</v>
      </c>
      <c r="AH206" s="1415"/>
      <c r="AI206" s="1434"/>
      <c r="AJ206" s="1414"/>
    </row>
    <row r="207" spans="26:36" ht="15">
      <c r="Z207" s="1411">
        <v>142</v>
      </c>
      <c r="AA207" s="1417" t="s">
        <v>2491</v>
      </c>
      <c r="AB207" s="1419" t="e">
        <f t="shared" si="16"/>
        <v>#NUM!</v>
      </c>
      <c r="AC207" s="1418" t="e">
        <f t="shared" si="17"/>
        <v>#NUM!</v>
      </c>
      <c r="AD207" s="1413">
        <f t="shared" si="17"/>
        <v>0</v>
      </c>
      <c r="AE207" s="1411">
        <v>30</v>
      </c>
      <c r="AF207" s="1411">
        <f t="shared" si="14"/>
        <v>0</v>
      </c>
      <c r="AG207" s="1412" t="e">
        <f t="shared" si="15"/>
        <v>#NUM!</v>
      </c>
      <c r="AH207" s="1415"/>
      <c r="AI207" s="1434"/>
      <c r="AJ207" s="1414"/>
    </row>
    <row r="208" spans="26:36" ht="15">
      <c r="Z208" s="1411">
        <v>143</v>
      </c>
      <c r="AA208" s="1417" t="s">
        <v>2491</v>
      </c>
      <c r="AB208" s="1419" t="e">
        <f t="shared" si="16"/>
        <v>#NUM!</v>
      </c>
      <c r="AC208" s="1418" t="e">
        <f t="shared" si="17"/>
        <v>#NUM!</v>
      </c>
      <c r="AD208" s="1413">
        <f t="shared" si="17"/>
        <v>0</v>
      </c>
      <c r="AE208" s="1411">
        <v>30</v>
      </c>
      <c r="AF208" s="1411">
        <f t="shared" si="14"/>
        <v>0</v>
      </c>
      <c r="AG208" s="1412" t="e">
        <f t="shared" si="15"/>
        <v>#NUM!</v>
      </c>
      <c r="AH208" s="1415"/>
      <c r="AI208" s="1434"/>
      <c r="AJ208" s="1414"/>
    </row>
    <row r="209" spans="26:36" ht="15">
      <c r="Z209" s="1411">
        <v>144</v>
      </c>
      <c r="AA209" s="1417" t="s">
        <v>2491</v>
      </c>
      <c r="AB209" s="1419" t="e">
        <f t="shared" si="16"/>
        <v>#NUM!</v>
      </c>
      <c r="AC209" s="1418" t="e">
        <f t="shared" si="17"/>
        <v>#NUM!</v>
      </c>
      <c r="AD209" s="1413">
        <f t="shared" si="17"/>
        <v>0</v>
      </c>
      <c r="AE209" s="1411">
        <v>30</v>
      </c>
      <c r="AF209" s="1411">
        <f t="shared" si="14"/>
        <v>0</v>
      </c>
      <c r="AG209" s="1412" t="e">
        <f t="shared" si="15"/>
        <v>#NUM!</v>
      </c>
      <c r="AH209" s="1415"/>
      <c r="AI209" s="1434"/>
      <c r="AJ209" s="1414"/>
    </row>
    <row r="210" spans="26:36" ht="15">
      <c r="Z210" s="1411">
        <v>145</v>
      </c>
      <c r="AA210" s="1417" t="s">
        <v>2491</v>
      </c>
      <c r="AB210" s="1419" t="e">
        <f t="shared" si="16"/>
        <v>#NUM!</v>
      </c>
      <c r="AC210" s="1418" t="e">
        <f t="shared" si="17"/>
        <v>#NUM!</v>
      </c>
      <c r="AD210" s="1413">
        <f t="shared" si="17"/>
        <v>0</v>
      </c>
      <c r="AE210" s="1411">
        <v>30</v>
      </c>
      <c r="AF210" s="1411">
        <f t="shared" si="14"/>
        <v>0</v>
      </c>
      <c r="AG210" s="1412" t="e">
        <f t="shared" si="15"/>
        <v>#NUM!</v>
      </c>
      <c r="AH210" s="1415" t="e">
        <f>MAX(0,AB210*0.005)</f>
        <v>#NUM!</v>
      </c>
      <c r="AI210" s="1434">
        <v>13</v>
      </c>
      <c r="AJ210" s="1414"/>
    </row>
    <row r="211" spans="26:36" ht="15">
      <c r="Z211" s="1411">
        <v>146</v>
      </c>
      <c r="AA211" s="1417" t="s">
        <v>2491</v>
      </c>
      <c r="AB211" s="1419" t="e">
        <f t="shared" si="16"/>
        <v>#NUM!</v>
      </c>
      <c r="AC211" s="1418" t="e">
        <f t="shared" si="17"/>
        <v>#NUM!</v>
      </c>
      <c r="AD211" s="1413">
        <f t="shared" si="17"/>
        <v>0</v>
      </c>
      <c r="AE211" s="1411">
        <v>30</v>
      </c>
      <c r="AF211" s="1411">
        <f t="shared" si="14"/>
        <v>0</v>
      </c>
      <c r="AG211" s="1412" t="e">
        <f t="shared" si="15"/>
        <v>#NUM!</v>
      </c>
      <c r="AH211" s="1415"/>
      <c r="AI211" s="1434"/>
      <c r="AJ211" s="1414"/>
    </row>
    <row r="212" spans="26:36" ht="15">
      <c r="Z212" s="1411">
        <v>147</v>
      </c>
      <c r="AA212" s="1417" t="s">
        <v>2491</v>
      </c>
      <c r="AB212" s="1419" t="e">
        <f t="shared" si="16"/>
        <v>#NUM!</v>
      </c>
      <c r="AC212" s="1418" t="e">
        <f t="shared" ref="AC212:AD227" si="18">+AC211</f>
        <v>#NUM!</v>
      </c>
      <c r="AD212" s="1413">
        <f t="shared" si="18"/>
        <v>0</v>
      </c>
      <c r="AE212" s="1411">
        <v>30</v>
      </c>
      <c r="AF212" s="1411">
        <f t="shared" si="14"/>
        <v>0</v>
      </c>
      <c r="AG212" s="1412" t="e">
        <f t="shared" si="15"/>
        <v>#NUM!</v>
      </c>
      <c r="AH212" s="1415"/>
      <c r="AI212" s="1434"/>
      <c r="AJ212" s="1414"/>
    </row>
    <row r="213" spans="26:36" ht="15">
      <c r="Z213" s="1411">
        <v>148</v>
      </c>
      <c r="AA213" s="1417" t="s">
        <v>2491</v>
      </c>
      <c r="AB213" s="1419" t="e">
        <f t="shared" si="16"/>
        <v>#NUM!</v>
      </c>
      <c r="AC213" s="1418" t="e">
        <f t="shared" si="18"/>
        <v>#NUM!</v>
      </c>
      <c r="AD213" s="1413">
        <f t="shared" si="18"/>
        <v>0</v>
      </c>
      <c r="AE213" s="1411">
        <v>30</v>
      </c>
      <c r="AF213" s="1411">
        <f t="shared" si="14"/>
        <v>0</v>
      </c>
      <c r="AG213" s="1412" t="e">
        <f t="shared" si="15"/>
        <v>#NUM!</v>
      </c>
      <c r="AH213" s="1415"/>
      <c r="AI213" s="1434"/>
      <c r="AJ213" s="1414"/>
    </row>
    <row r="214" spans="26:36" ht="15">
      <c r="Z214" s="1411">
        <v>149</v>
      </c>
      <c r="AA214" s="1417" t="s">
        <v>2491</v>
      </c>
      <c r="AB214" s="1419" t="e">
        <f t="shared" si="16"/>
        <v>#NUM!</v>
      </c>
      <c r="AC214" s="1418" t="e">
        <f t="shared" si="18"/>
        <v>#NUM!</v>
      </c>
      <c r="AD214" s="1413">
        <f t="shared" si="18"/>
        <v>0</v>
      </c>
      <c r="AE214" s="1411">
        <v>30</v>
      </c>
      <c r="AF214" s="1411">
        <f t="shared" si="14"/>
        <v>0</v>
      </c>
      <c r="AG214" s="1412" t="e">
        <f t="shared" si="15"/>
        <v>#NUM!</v>
      </c>
      <c r="AH214" s="1415"/>
      <c r="AI214" s="1434"/>
      <c r="AJ214" s="1414"/>
    </row>
    <row r="215" spans="26:36" ht="15">
      <c r="Z215" s="1411">
        <v>150</v>
      </c>
      <c r="AA215" s="1417" t="s">
        <v>2491</v>
      </c>
      <c r="AB215" s="1419" t="e">
        <f t="shared" si="16"/>
        <v>#NUM!</v>
      </c>
      <c r="AC215" s="1418" t="e">
        <f t="shared" si="18"/>
        <v>#NUM!</v>
      </c>
      <c r="AD215" s="1413">
        <f t="shared" si="18"/>
        <v>0</v>
      </c>
      <c r="AE215" s="1411">
        <v>30</v>
      </c>
      <c r="AF215" s="1411">
        <f t="shared" si="14"/>
        <v>0</v>
      </c>
      <c r="AG215" s="1412" t="e">
        <f t="shared" si="15"/>
        <v>#NUM!</v>
      </c>
      <c r="AH215" s="1415"/>
      <c r="AI215" s="1434"/>
      <c r="AJ215" s="1414"/>
    </row>
    <row r="216" spans="26:36" ht="15">
      <c r="Z216" s="1411">
        <v>151</v>
      </c>
      <c r="AA216" s="1417" t="s">
        <v>2491</v>
      </c>
      <c r="AB216" s="1419" t="e">
        <f t="shared" si="16"/>
        <v>#NUM!</v>
      </c>
      <c r="AC216" s="1418" t="e">
        <f t="shared" si="18"/>
        <v>#NUM!</v>
      </c>
      <c r="AD216" s="1413">
        <f t="shared" si="18"/>
        <v>0</v>
      </c>
      <c r="AE216" s="1411">
        <v>30</v>
      </c>
      <c r="AF216" s="1411">
        <f t="shared" si="14"/>
        <v>0</v>
      </c>
      <c r="AG216" s="1412" t="e">
        <f t="shared" si="15"/>
        <v>#NUM!</v>
      </c>
      <c r="AH216" s="1415"/>
      <c r="AI216" s="1434"/>
      <c r="AJ216" s="1414"/>
    </row>
    <row r="217" spans="26:36" ht="15">
      <c r="Z217" s="1411">
        <v>152</v>
      </c>
      <c r="AA217" s="1417" t="s">
        <v>2491</v>
      </c>
      <c r="AB217" s="1419" t="e">
        <f t="shared" si="16"/>
        <v>#NUM!</v>
      </c>
      <c r="AC217" s="1418" t="e">
        <f t="shared" si="18"/>
        <v>#NUM!</v>
      </c>
      <c r="AD217" s="1413">
        <f t="shared" si="18"/>
        <v>0</v>
      </c>
      <c r="AE217" s="1411">
        <v>30</v>
      </c>
      <c r="AF217" s="1411">
        <f t="shared" si="14"/>
        <v>0</v>
      </c>
      <c r="AG217" s="1412" t="e">
        <f t="shared" si="15"/>
        <v>#NUM!</v>
      </c>
      <c r="AH217" s="1415"/>
      <c r="AI217" s="1434"/>
      <c r="AJ217" s="1414"/>
    </row>
    <row r="218" spans="26:36" ht="15">
      <c r="Z218" s="1411">
        <v>153</v>
      </c>
      <c r="AA218" s="1417" t="s">
        <v>2491</v>
      </c>
      <c r="AB218" s="1419" t="e">
        <f t="shared" si="16"/>
        <v>#NUM!</v>
      </c>
      <c r="AC218" s="1418" t="e">
        <f t="shared" si="18"/>
        <v>#NUM!</v>
      </c>
      <c r="AD218" s="1413">
        <f t="shared" si="18"/>
        <v>0</v>
      </c>
      <c r="AE218" s="1411">
        <v>30</v>
      </c>
      <c r="AF218" s="1411">
        <f t="shared" si="14"/>
        <v>0</v>
      </c>
      <c r="AG218" s="1412" t="e">
        <f t="shared" si="15"/>
        <v>#NUM!</v>
      </c>
      <c r="AH218" s="1415"/>
      <c r="AI218" s="1434"/>
      <c r="AJ218" s="1414"/>
    </row>
    <row r="219" spans="26:36" ht="15">
      <c r="Z219" s="1411">
        <v>154</v>
      </c>
      <c r="AA219" s="1417" t="s">
        <v>2491</v>
      </c>
      <c r="AB219" s="1419" t="e">
        <f t="shared" si="16"/>
        <v>#NUM!</v>
      </c>
      <c r="AC219" s="1418" t="e">
        <f t="shared" si="18"/>
        <v>#NUM!</v>
      </c>
      <c r="AD219" s="1413">
        <f t="shared" si="18"/>
        <v>0</v>
      </c>
      <c r="AE219" s="1411">
        <v>30</v>
      </c>
      <c r="AF219" s="1411">
        <f t="shared" si="14"/>
        <v>0</v>
      </c>
      <c r="AG219" s="1412" t="e">
        <f t="shared" si="15"/>
        <v>#NUM!</v>
      </c>
      <c r="AH219" s="1415"/>
      <c r="AI219" s="1434"/>
      <c r="AJ219" s="1414"/>
    </row>
    <row r="220" spans="26:36" ht="15">
      <c r="Z220" s="1411">
        <v>155</v>
      </c>
      <c r="AA220" s="1417" t="s">
        <v>2491</v>
      </c>
      <c r="AB220" s="1419" t="e">
        <f t="shared" si="16"/>
        <v>#NUM!</v>
      </c>
      <c r="AC220" s="1418" t="e">
        <f t="shared" si="18"/>
        <v>#NUM!</v>
      </c>
      <c r="AD220" s="1413">
        <f t="shared" si="18"/>
        <v>0</v>
      </c>
      <c r="AE220" s="1411">
        <v>30</v>
      </c>
      <c r="AF220" s="1411">
        <f t="shared" si="14"/>
        <v>0</v>
      </c>
      <c r="AG220" s="1412" t="e">
        <f t="shared" si="15"/>
        <v>#NUM!</v>
      </c>
      <c r="AH220" s="1415"/>
      <c r="AI220" s="1434"/>
      <c r="AJ220" s="1414"/>
    </row>
    <row r="221" spans="26:36" ht="15">
      <c r="Z221" s="1411">
        <v>156</v>
      </c>
      <c r="AA221" s="1417" t="s">
        <v>2491</v>
      </c>
      <c r="AB221" s="1419" t="e">
        <f t="shared" si="16"/>
        <v>#NUM!</v>
      </c>
      <c r="AC221" s="1418" t="e">
        <f t="shared" si="18"/>
        <v>#NUM!</v>
      </c>
      <c r="AD221" s="1413">
        <f t="shared" si="18"/>
        <v>0</v>
      </c>
      <c r="AE221" s="1411">
        <v>30</v>
      </c>
      <c r="AF221" s="1411">
        <f t="shared" si="14"/>
        <v>0</v>
      </c>
      <c r="AG221" s="1412" t="e">
        <f t="shared" si="15"/>
        <v>#NUM!</v>
      </c>
      <c r="AH221" s="1415"/>
      <c r="AI221" s="1434"/>
      <c r="AJ221" s="1414"/>
    </row>
    <row r="222" spans="26:36" ht="15">
      <c r="Z222" s="1411">
        <v>157</v>
      </c>
      <c r="AA222" s="1417" t="s">
        <v>2491</v>
      </c>
      <c r="AB222" s="1419" t="e">
        <f t="shared" si="16"/>
        <v>#NUM!</v>
      </c>
      <c r="AC222" s="1418" t="e">
        <f t="shared" si="18"/>
        <v>#NUM!</v>
      </c>
      <c r="AD222" s="1413">
        <f t="shared" si="18"/>
        <v>0</v>
      </c>
      <c r="AE222" s="1411">
        <v>30</v>
      </c>
      <c r="AF222" s="1411">
        <f t="shared" si="14"/>
        <v>0</v>
      </c>
      <c r="AG222" s="1412" t="e">
        <f t="shared" si="15"/>
        <v>#NUM!</v>
      </c>
      <c r="AH222" s="1415" t="e">
        <f>MAX(0,AB222*0.005)</f>
        <v>#NUM!</v>
      </c>
      <c r="AI222" s="1434">
        <v>14</v>
      </c>
      <c r="AJ222" s="1414"/>
    </row>
    <row r="223" spans="26:36" ht="15">
      <c r="Z223" s="1411">
        <v>158</v>
      </c>
      <c r="AA223" s="1417" t="s">
        <v>2491</v>
      </c>
      <c r="AB223" s="1419" t="e">
        <f t="shared" si="16"/>
        <v>#NUM!</v>
      </c>
      <c r="AC223" s="1418" t="e">
        <f t="shared" si="18"/>
        <v>#NUM!</v>
      </c>
      <c r="AD223" s="1413">
        <f t="shared" si="18"/>
        <v>0</v>
      </c>
      <c r="AE223" s="1411">
        <v>30</v>
      </c>
      <c r="AF223" s="1411">
        <f t="shared" si="14"/>
        <v>0</v>
      </c>
      <c r="AG223" s="1412" t="e">
        <f t="shared" si="15"/>
        <v>#NUM!</v>
      </c>
      <c r="AH223" s="1415"/>
      <c r="AI223" s="1434"/>
      <c r="AJ223" s="1414"/>
    </row>
    <row r="224" spans="26:36" ht="15">
      <c r="Z224" s="1411">
        <v>159</v>
      </c>
      <c r="AA224" s="1417" t="s">
        <v>2491</v>
      </c>
      <c r="AB224" s="1419" t="e">
        <f t="shared" si="16"/>
        <v>#NUM!</v>
      </c>
      <c r="AC224" s="1418" t="e">
        <f t="shared" si="18"/>
        <v>#NUM!</v>
      </c>
      <c r="AD224" s="1413">
        <f t="shared" si="18"/>
        <v>0</v>
      </c>
      <c r="AE224" s="1411">
        <v>30</v>
      </c>
      <c r="AF224" s="1411">
        <f t="shared" si="14"/>
        <v>0</v>
      </c>
      <c r="AG224" s="1412" t="e">
        <f t="shared" si="15"/>
        <v>#NUM!</v>
      </c>
      <c r="AH224" s="1415"/>
      <c r="AI224" s="1434"/>
      <c r="AJ224" s="1414"/>
    </row>
    <row r="225" spans="26:36" ht="15">
      <c r="Z225" s="1411">
        <v>160</v>
      </c>
      <c r="AA225" s="1417" t="s">
        <v>2491</v>
      </c>
      <c r="AB225" s="1419" t="e">
        <f t="shared" si="16"/>
        <v>#NUM!</v>
      </c>
      <c r="AC225" s="1418" t="e">
        <f t="shared" si="18"/>
        <v>#NUM!</v>
      </c>
      <c r="AD225" s="1413">
        <f t="shared" si="18"/>
        <v>0</v>
      </c>
      <c r="AE225" s="1411">
        <v>30</v>
      </c>
      <c r="AF225" s="1411">
        <f t="shared" si="14"/>
        <v>0</v>
      </c>
      <c r="AG225" s="1412" t="e">
        <f t="shared" si="15"/>
        <v>#NUM!</v>
      </c>
      <c r="AH225" s="1415"/>
      <c r="AI225" s="1434"/>
      <c r="AJ225" s="1414"/>
    </row>
    <row r="226" spans="26:36" ht="15">
      <c r="Z226" s="1411">
        <v>161</v>
      </c>
      <c r="AA226" s="1417" t="s">
        <v>2491</v>
      </c>
      <c r="AB226" s="1419" t="e">
        <f t="shared" si="16"/>
        <v>#NUM!</v>
      </c>
      <c r="AC226" s="1418" t="e">
        <f t="shared" si="18"/>
        <v>#NUM!</v>
      </c>
      <c r="AD226" s="1413">
        <f t="shared" si="18"/>
        <v>0</v>
      </c>
      <c r="AE226" s="1411">
        <v>30</v>
      </c>
      <c r="AF226" s="1411">
        <f t="shared" si="14"/>
        <v>0</v>
      </c>
      <c r="AG226" s="1412" t="e">
        <f t="shared" si="15"/>
        <v>#NUM!</v>
      </c>
      <c r="AH226" s="1415"/>
      <c r="AI226" s="1434"/>
      <c r="AJ226" s="1414"/>
    </row>
    <row r="227" spans="26:36" ht="15">
      <c r="Z227" s="1411">
        <v>162</v>
      </c>
      <c r="AA227" s="1417" t="s">
        <v>2491</v>
      </c>
      <c r="AB227" s="1419" t="e">
        <f t="shared" si="16"/>
        <v>#NUM!</v>
      </c>
      <c r="AC227" s="1418" t="e">
        <f t="shared" si="18"/>
        <v>#NUM!</v>
      </c>
      <c r="AD227" s="1413">
        <f t="shared" si="18"/>
        <v>0</v>
      </c>
      <c r="AE227" s="1411">
        <v>30</v>
      </c>
      <c r="AF227" s="1411">
        <f t="shared" si="14"/>
        <v>0</v>
      </c>
      <c r="AG227" s="1412" t="e">
        <f t="shared" si="15"/>
        <v>#NUM!</v>
      </c>
      <c r="AH227" s="1415"/>
      <c r="AI227" s="1434"/>
      <c r="AJ227" s="1414"/>
    </row>
    <row r="228" spans="26:36" ht="15">
      <c r="Z228" s="1411">
        <v>163</v>
      </c>
      <c r="AA228" s="1417" t="s">
        <v>2491</v>
      </c>
      <c r="AB228" s="1419" t="e">
        <f t="shared" si="16"/>
        <v>#NUM!</v>
      </c>
      <c r="AC228" s="1418" t="e">
        <f t="shared" ref="AC228:AD243" si="19">+AC227</f>
        <v>#NUM!</v>
      </c>
      <c r="AD228" s="1413">
        <f t="shared" si="19"/>
        <v>0</v>
      </c>
      <c r="AE228" s="1411">
        <v>30</v>
      </c>
      <c r="AF228" s="1411">
        <f t="shared" si="14"/>
        <v>0</v>
      </c>
      <c r="AG228" s="1412" t="e">
        <f t="shared" si="15"/>
        <v>#NUM!</v>
      </c>
      <c r="AH228" s="1415"/>
      <c r="AI228" s="1434"/>
      <c r="AJ228" s="1414"/>
    </row>
    <row r="229" spans="26:36" ht="15">
      <c r="Z229" s="1411">
        <v>164</v>
      </c>
      <c r="AA229" s="1417" t="s">
        <v>2491</v>
      </c>
      <c r="AB229" s="1419" t="e">
        <f t="shared" si="16"/>
        <v>#NUM!</v>
      </c>
      <c r="AC229" s="1418" t="e">
        <f t="shared" si="19"/>
        <v>#NUM!</v>
      </c>
      <c r="AD229" s="1413">
        <f t="shared" si="19"/>
        <v>0</v>
      </c>
      <c r="AE229" s="1411">
        <v>30</v>
      </c>
      <c r="AF229" s="1411">
        <f t="shared" si="14"/>
        <v>0</v>
      </c>
      <c r="AG229" s="1412" t="e">
        <f t="shared" si="15"/>
        <v>#NUM!</v>
      </c>
      <c r="AH229" s="1415"/>
      <c r="AI229" s="1434"/>
      <c r="AJ229" s="1414"/>
    </row>
    <row r="230" spans="26:36" ht="15">
      <c r="Z230" s="1411">
        <v>165</v>
      </c>
      <c r="AA230" s="1417" t="s">
        <v>2491</v>
      </c>
      <c r="AB230" s="1419" t="e">
        <f t="shared" si="16"/>
        <v>#NUM!</v>
      </c>
      <c r="AC230" s="1418" t="e">
        <f t="shared" si="19"/>
        <v>#NUM!</v>
      </c>
      <c r="AD230" s="1413">
        <f t="shared" si="19"/>
        <v>0</v>
      </c>
      <c r="AE230" s="1411">
        <v>30</v>
      </c>
      <c r="AF230" s="1411">
        <f t="shared" si="14"/>
        <v>0</v>
      </c>
      <c r="AG230" s="1412" t="e">
        <f t="shared" si="15"/>
        <v>#NUM!</v>
      </c>
      <c r="AH230" s="1415"/>
      <c r="AI230" s="1434"/>
      <c r="AJ230" s="1414"/>
    </row>
    <row r="231" spans="26:36" ht="15">
      <c r="Z231" s="1411">
        <v>166</v>
      </c>
      <c r="AA231" s="1417" t="s">
        <v>2491</v>
      </c>
      <c r="AB231" s="1419" t="e">
        <f t="shared" si="16"/>
        <v>#NUM!</v>
      </c>
      <c r="AC231" s="1418" t="e">
        <f t="shared" si="19"/>
        <v>#NUM!</v>
      </c>
      <c r="AD231" s="1413">
        <f t="shared" si="19"/>
        <v>0</v>
      </c>
      <c r="AE231" s="1411">
        <v>30</v>
      </c>
      <c r="AF231" s="1411">
        <f t="shared" si="14"/>
        <v>0</v>
      </c>
      <c r="AG231" s="1412" t="e">
        <f t="shared" si="15"/>
        <v>#NUM!</v>
      </c>
      <c r="AH231" s="1415"/>
      <c r="AI231" s="1434"/>
      <c r="AJ231" s="1414"/>
    </row>
    <row r="232" spans="26:36" ht="15">
      <c r="Z232" s="1411">
        <v>167</v>
      </c>
      <c r="AA232" s="1417" t="s">
        <v>2491</v>
      </c>
      <c r="AB232" s="1419" t="e">
        <f t="shared" si="16"/>
        <v>#NUM!</v>
      </c>
      <c r="AC232" s="1418" t="e">
        <f t="shared" si="19"/>
        <v>#NUM!</v>
      </c>
      <c r="AD232" s="1413">
        <f t="shared" si="19"/>
        <v>0</v>
      </c>
      <c r="AE232" s="1411">
        <v>30</v>
      </c>
      <c r="AF232" s="1411">
        <f t="shared" si="14"/>
        <v>0</v>
      </c>
      <c r="AG232" s="1412" t="e">
        <f t="shared" si="15"/>
        <v>#NUM!</v>
      </c>
      <c r="AH232" s="1415"/>
      <c r="AI232" s="1434"/>
      <c r="AJ232" s="1414"/>
    </row>
    <row r="233" spans="26:36" ht="15">
      <c r="Z233" s="1411">
        <v>168</v>
      </c>
      <c r="AA233" s="1417" t="s">
        <v>2491</v>
      </c>
      <c r="AB233" s="1419" t="e">
        <f t="shared" si="16"/>
        <v>#NUM!</v>
      </c>
      <c r="AC233" s="1418" t="e">
        <f t="shared" si="19"/>
        <v>#NUM!</v>
      </c>
      <c r="AD233" s="1413">
        <f t="shared" si="19"/>
        <v>0</v>
      </c>
      <c r="AE233" s="1411">
        <v>30</v>
      </c>
      <c r="AF233" s="1411">
        <f t="shared" si="14"/>
        <v>0</v>
      </c>
      <c r="AG233" s="1412" t="e">
        <f t="shared" si="15"/>
        <v>#NUM!</v>
      </c>
      <c r="AH233" s="1415"/>
      <c r="AI233" s="1434"/>
      <c r="AJ233" s="1414"/>
    </row>
    <row r="234" spans="26:36" ht="15">
      <c r="Z234" s="1411">
        <v>169</v>
      </c>
      <c r="AA234" s="1417" t="s">
        <v>2491</v>
      </c>
      <c r="AB234" s="1419" t="e">
        <f t="shared" si="16"/>
        <v>#NUM!</v>
      </c>
      <c r="AC234" s="1418" t="e">
        <f t="shared" si="19"/>
        <v>#NUM!</v>
      </c>
      <c r="AD234" s="1413">
        <f t="shared" si="19"/>
        <v>0</v>
      </c>
      <c r="AE234" s="1411">
        <v>30</v>
      </c>
      <c r="AF234" s="1411">
        <f t="shared" si="14"/>
        <v>0</v>
      </c>
      <c r="AG234" s="1412" t="e">
        <f t="shared" si="15"/>
        <v>#NUM!</v>
      </c>
      <c r="AH234" s="1415" t="e">
        <f>MAX(0,AB234*0.005)</f>
        <v>#NUM!</v>
      </c>
      <c r="AI234" s="1434">
        <v>15</v>
      </c>
      <c r="AJ234" s="1414"/>
    </row>
    <row r="235" spans="26:36" ht="15">
      <c r="Z235" s="1411">
        <v>170</v>
      </c>
      <c r="AA235" s="1417" t="s">
        <v>2491</v>
      </c>
      <c r="AB235" s="1419" t="e">
        <f t="shared" si="16"/>
        <v>#NUM!</v>
      </c>
      <c r="AC235" s="1418" t="e">
        <f t="shared" si="19"/>
        <v>#NUM!</v>
      </c>
      <c r="AD235" s="1413">
        <f t="shared" si="19"/>
        <v>0</v>
      </c>
      <c r="AE235" s="1411">
        <v>30</v>
      </c>
      <c r="AF235" s="1411">
        <f t="shared" si="14"/>
        <v>0</v>
      </c>
      <c r="AG235" s="1412" t="e">
        <f t="shared" si="15"/>
        <v>#NUM!</v>
      </c>
      <c r="AH235" s="1415"/>
      <c r="AI235" s="1434"/>
      <c r="AJ235" s="1414"/>
    </row>
    <row r="236" spans="26:36" ht="15">
      <c r="Z236" s="1411">
        <v>171</v>
      </c>
      <c r="AA236" s="1417" t="s">
        <v>2491</v>
      </c>
      <c r="AB236" s="1419" t="e">
        <f t="shared" si="16"/>
        <v>#NUM!</v>
      </c>
      <c r="AC236" s="1418" t="e">
        <f t="shared" si="19"/>
        <v>#NUM!</v>
      </c>
      <c r="AD236" s="1413">
        <f t="shared" si="19"/>
        <v>0</v>
      </c>
      <c r="AE236" s="1411">
        <v>30</v>
      </c>
      <c r="AF236" s="1411">
        <f t="shared" si="14"/>
        <v>0</v>
      </c>
      <c r="AG236" s="1412" t="e">
        <f t="shared" si="15"/>
        <v>#NUM!</v>
      </c>
      <c r="AH236" s="1415"/>
      <c r="AI236" s="1434"/>
      <c r="AJ236" s="1414"/>
    </row>
    <row r="237" spans="26:36" ht="15">
      <c r="Z237" s="1411">
        <v>172</v>
      </c>
      <c r="AA237" s="1417" t="s">
        <v>2491</v>
      </c>
      <c r="AB237" s="1419" t="e">
        <f t="shared" si="16"/>
        <v>#NUM!</v>
      </c>
      <c r="AC237" s="1418" t="e">
        <f t="shared" si="19"/>
        <v>#NUM!</v>
      </c>
      <c r="AD237" s="1413">
        <f t="shared" si="19"/>
        <v>0</v>
      </c>
      <c r="AE237" s="1411">
        <v>30</v>
      </c>
      <c r="AF237" s="1411">
        <f t="shared" si="14"/>
        <v>0</v>
      </c>
      <c r="AG237" s="1412" t="e">
        <f t="shared" si="15"/>
        <v>#NUM!</v>
      </c>
      <c r="AH237" s="1415"/>
      <c r="AI237" s="1434"/>
      <c r="AJ237" s="1414"/>
    </row>
    <row r="238" spans="26:36" ht="15">
      <c r="Z238" s="1411">
        <v>173</v>
      </c>
      <c r="AA238" s="1417" t="s">
        <v>2491</v>
      </c>
      <c r="AB238" s="1419" t="e">
        <f t="shared" si="16"/>
        <v>#NUM!</v>
      </c>
      <c r="AC238" s="1418" t="e">
        <f t="shared" si="19"/>
        <v>#NUM!</v>
      </c>
      <c r="AD238" s="1413">
        <f t="shared" si="19"/>
        <v>0</v>
      </c>
      <c r="AE238" s="1411">
        <v>30</v>
      </c>
      <c r="AF238" s="1411">
        <f t="shared" si="14"/>
        <v>0</v>
      </c>
      <c r="AG238" s="1412" t="e">
        <f t="shared" si="15"/>
        <v>#NUM!</v>
      </c>
      <c r="AH238" s="1415"/>
      <c r="AI238" s="1434"/>
      <c r="AJ238" s="1414"/>
    </row>
    <row r="239" spans="26:36" ht="15">
      <c r="Z239" s="1411">
        <v>174</v>
      </c>
      <c r="AA239" s="1417" t="s">
        <v>2491</v>
      </c>
      <c r="AB239" s="1419" t="e">
        <f t="shared" si="16"/>
        <v>#NUM!</v>
      </c>
      <c r="AC239" s="1418" t="e">
        <f t="shared" si="19"/>
        <v>#NUM!</v>
      </c>
      <c r="AD239" s="1413">
        <f t="shared" si="19"/>
        <v>0</v>
      </c>
      <c r="AE239" s="1411">
        <v>30</v>
      </c>
      <c r="AF239" s="1411">
        <f t="shared" si="14"/>
        <v>0</v>
      </c>
      <c r="AG239" s="1412" t="e">
        <f t="shared" si="15"/>
        <v>#NUM!</v>
      </c>
      <c r="AH239" s="1415"/>
      <c r="AI239" s="1434"/>
      <c r="AJ239" s="1414"/>
    </row>
    <row r="240" spans="26:36" ht="15">
      <c r="Z240" s="1411">
        <v>175</v>
      </c>
      <c r="AA240" s="1417" t="s">
        <v>2491</v>
      </c>
      <c r="AB240" s="1419" t="e">
        <f t="shared" si="16"/>
        <v>#NUM!</v>
      </c>
      <c r="AC240" s="1418" t="e">
        <f t="shared" si="19"/>
        <v>#NUM!</v>
      </c>
      <c r="AD240" s="1413">
        <f t="shared" si="19"/>
        <v>0</v>
      </c>
      <c r="AE240" s="1411">
        <v>30</v>
      </c>
      <c r="AF240" s="1411">
        <f t="shared" si="14"/>
        <v>0</v>
      </c>
      <c r="AG240" s="1412" t="e">
        <f t="shared" si="15"/>
        <v>#NUM!</v>
      </c>
      <c r="AH240" s="1415"/>
      <c r="AI240" s="1434"/>
      <c r="AJ240" s="1414"/>
    </row>
    <row r="241" spans="26:36" ht="15">
      <c r="Z241" s="1411">
        <v>176</v>
      </c>
      <c r="AA241" s="1417" t="s">
        <v>2491</v>
      </c>
      <c r="AB241" s="1419" t="e">
        <f t="shared" si="16"/>
        <v>#NUM!</v>
      </c>
      <c r="AC241" s="1418" t="e">
        <f t="shared" si="19"/>
        <v>#NUM!</v>
      </c>
      <c r="AD241" s="1413">
        <f t="shared" si="19"/>
        <v>0</v>
      </c>
      <c r="AE241" s="1411">
        <v>30</v>
      </c>
      <c r="AF241" s="1411">
        <f t="shared" si="14"/>
        <v>0</v>
      </c>
      <c r="AG241" s="1412" t="e">
        <f t="shared" si="15"/>
        <v>#NUM!</v>
      </c>
      <c r="AH241" s="1415"/>
      <c r="AI241" s="1434"/>
      <c r="AJ241" s="1414"/>
    </row>
    <row r="242" spans="26:36" ht="15">
      <c r="Z242" s="1411">
        <v>177</v>
      </c>
      <c r="AA242" s="1417" t="s">
        <v>2491</v>
      </c>
      <c r="AB242" s="1419" t="e">
        <f t="shared" si="16"/>
        <v>#NUM!</v>
      </c>
      <c r="AC242" s="1418" t="e">
        <f t="shared" si="19"/>
        <v>#NUM!</v>
      </c>
      <c r="AD242" s="1413">
        <f t="shared" si="19"/>
        <v>0</v>
      </c>
      <c r="AE242" s="1411">
        <v>30</v>
      </c>
      <c r="AF242" s="1411">
        <f t="shared" si="14"/>
        <v>0</v>
      </c>
      <c r="AG242" s="1412" t="e">
        <f t="shared" si="15"/>
        <v>#NUM!</v>
      </c>
      <c r="AH242" s="1415"/>
      <c r="AI242" s="1434"/>
      <c r="AJ242" s="1414"/>
    </row>
    <row r="243" spans="26:36" ht="15">
      <c r="Z243" s="1411">
        <v>178</v>
      </c>
      <c r="AA243" s="1417" t="s">
        <v>2491</v>
      </c>
      <c r="AB243" s="1419" t="e">
        <f t="shared" si="16"/>
        <v>#NUM!</v>
      </c>
      <c r="AC243" s="1418" t="e">
        <f t="shared" si="19"/>
        <v>#NUM!</v>
      </c>
      <c r="AD243" s="1413">
        <f t="shared" si="19"/>
        <v>0</v>
      </c>
      <c r="AE243" s="1411">
        <v>30</v>
      </c>
      <c r="AF243" s="1411">
        <f t="shared" si="14"/>
        <v>0</v>
      </c>
      <c r="AG243" s="1412" t="e">
        <f t="shared" si="15"/>
        <v>#NUM!</v>
      </c>
      <c r="AH243" s="1415"/>
      <c r="AI243" s="1434"/>
      <c r="AJ243" s="1414"/>
    </row>
    <row r="244" spans="26:36" ht="15">
      <c r="Z244" s="1411">
        <v>179</v>
      </c>
      <c r="AA244" s="1417" t="s">
        <v>2491</v>
      </c>
      <c r="AB244" s="1419" t="e">
        <f t="shared" si="16"/>
        <v>#NUM!</v>
      </c>
      <c r="AC244" s="1418" t="e">
        <f t="shared" ref="AC244:AD259" si="20">+AC243</f>
        <v>#NUM!</v>
      </c>
      <c r="AD244" s="1413">
        <f t="shared" si="20"/>
        <v>0</v>
      </c>
      <c r="AE244" s="1411">
        <v>30</v>
      </c>
      <c r="AF244" s="1411">
        <f t="shared" si="14"/>
        <v>0</v>
      </c>
      <c r="AG244" s="1412" t="e">
        <f t="shared" si="15"/>
        <v>#NUM!</v>
      </c>
      <c r="AH244" s="1415"/>
      <c r="AI244" s="1434"/>
      <c r="AJ244" s="1414"/>
    </row>
    <row r="245" spans="26:36" ht="15">
      <c r="Z245" s="1411">
        <v>180</v>
      </c>
      <c r="AA245" s="1417" t="s">
        <v>2491</v>
      </c>
      <c r="AB245" s="1419" t="e">
        <f t="shared" si="16"/>
        <v>#NUM!</v>
      </c>
      <c r="AC245" s="1418" t="e">
        <f t="shared" si="20"/>
        <v>#NUM!</v>
      </c>
      <c r="AD245" s="1413">
        <f t="shared" si="20"/>
        <v>0</v>
      </c>
      <c r="AE245" s="1411">
        <v>30</v>
      </c>
      <c r="AF245" s="1411">
        <f t="shared" si="14"/>
        <v>0</v>
      </c>
      <c r="AG245" s="1412" t="e">
        <f t="shared" si="15"/>
        <v>#NUM!</v>
      </c>
      <c r="AH245" s="1415"/>
      <c r="AI245" s="1434"/>
      <c r="AJ245" s="1414"/>
    </row>
    <row r="246" spans="26:36" ht="15">
      <c r="Z246" s="1411">
        <v>181</v>
      </c>
      <c r="AA246" s="1417" t="s">
        <v>2491</v>
      </c>
      <c r="AB246" s="1419" t="e">
        <f t="shared" si="16"/>
        <v>#NUM!</v>
      </c>
      <c r="AC246" s="1418" t="e">
        <f t="shared" si="20"/>
        <v>#NUM!</v>
      </c>
      <c r="AD246" s="1413">
        <f t="shared" si="20"/>
        <v>0</v>
      </c>
      <c r="AE246" s="1411">
        <v>30</v>
      </c>
      <c r="AF246" s="1411">
        <f t="shared" si="14"/>
        <v>0</v>
      </c>
      <c r="AG246" s="1412" t="e">
        <f t="shared" si="15"/>
        <v>#NUM!</v>
      </c>
      <c r="AH246" s="1415" t="e">
        <f>MAX(0,AB246*0.005)</f>
        <v>#NUM!</v>
      </c>
      <c r="AI246" s="1434">
        <v>16</v>
      </c>
      <c r="AJ246" s="1414"/>
    </row>
    <row r="247" spans="26:36" ht="15">
      <c r="Z247" s="1411">
        <v>182</v>
      </c>
      <c r="AA247" s="1417" t="s">
        <v>2491</v>
      </c>
      <c r="AB247" s="1419" t="e">
        <f t="shared" si="16"/>
        <v>#NUM!</v>
      </c>
      <c r="AC247" s="1418" t="e">
        <f t="shared" si="20"/>
        <v>#NUM!</v>
      </c>
      <c r="AD247" s="1413">
        <f t="shared" si="20"/>
        <v>0</v>
      </c>
      <c r="AE247" s="1411">
        <v>30</v>
      </c>
      <c r="AF247" s="1411">
        <f t="shared" si="14"/>
        <v>0</v>
      </c>
      <c r="AG247" s="1412" t="e">
        <f t="shared" si="15"/>
        <v>#NUM!</v>
      </c>
      <c r="AH247" s="1415"/>
      <c r="AI247" s="1434"/>
      <c r="AJ247" s="1414"/>
    </row>
    <row r="248" spans="26:36" ht="15">
      <c r="Z248" s="1411">
        <v>183</v>
      </c>
      <c r="AA248" s="1417" t="s">
        <v>2491</v>
      </c>
      <c r="AB248" s="1419" t="e">
        <f t="shared" si="16"/>
        <v>#NUM!</v>
      </c>
      <c r="AC248" s="1418" t="e">
        <f t="shared" si="20"/>
        <v>#NUM!</v>
      </c>
      <c r="AD248" s="1413">
        <f t="shared" si="20"/>
        <v>0</v>
      </c>
      <c r="AE248" s="1411">
        <v>30</v>
      </c>
      <c r="AF248" s="1411">
        <f t="shared" si="14"/>
        <v>0</v>
      </c>
      <c r="AG248" s="1412" t="e">
        <f t="shared" si="15"/>
        <v>#NUM!</v>
      </c>
      <c r="AH248" s="1415"/>
      <c r="AI248" s="1434"/>
      <c r="AJ248" s="1414"/>
    </row>
    <row r="249" spans="26:36" ht="15">
      <c r="Z249" s="1411">
        <v>184</v>
      </c>
      <c r="AA249" s="1417" t="s">
        <v>2491</v>
      </c>
      <c r="AB249" s="1419" t="e">
        <f t="shared" si="16"/>
        <v>#NUM!</v>
      </c>
      <c r="AC249" s="1418" t="e">
        <f t="shared" si="20"/>
        <v>#NUM!</v>
      </c>
      <c r="AD249" s="1413">
        <f t="shared" si="20"/>
        <v>0</v>
      </c>
      <c r="AE249" s="1411">
        <v>30</v>
      </c>
      <c r="AF249" s="1411">
        <f t="shared" si="14"/>
        <v>0</v>
      </c>
      <c r="AG249" s="1412" t="e">
        <f t="shared" si="15"/>
        <v>#NUM!</v>
      </c>
      <c r="AH249" s="1415"/>
      <c r="AI249" s="1434"/>
      <c r="AJ249" s="1414"/>
    </row>
    <row r="250" spans="26:36" ht="15">
      <c r="Z250" s="1411">
        <v>185</v>
      </c>
      <c r="AA250" s="1417" t="s">
        <v>2491</v>
      </c>
      <c r="AB250" s="1419" t="e">
        <f t="shared" si="16"/>
        <v>#NUM!</v>
      </c>
      <c r="AC250" s="1418" t="e">
        <f t="shared" si="20"/>
        <v>#NUM!</v>
      </c>
      <c r="AD250" s="1413">
        <f t="shared" si="20"/>
        <v>0</v>
      </c>
      <c r="AE250" s="1411">
        <v>30</v>
      </c>
      <c r="AF250" s="1411">
        <f t="shared" si="14"/>
        <v>0</v>
      </c>
      <c r="AG250" s="1412" t="e">
        <f t="shared" si="15"/>
        <v>#NUM!</v>
      </c>
      <c r="AH250" s="1415"/>
      <c r="AI250" s="1434"/>
      <c r="AJ250" s="1414"/>
    </row>
    <row r="251" spans="26:36" ht="15">
      <c r="Z251" s="1411">
        <v>186</v>
      </c>
      <c r="AA251" s="1417" t="s">
        <v>2491</v>
      </c>
      <c r="AB251" s="1419" t="e">
        <f t="shared" si="16"/>
        <v>#NUM!</v>
      </c>
      <c r="AC251" s="1418" t="e">
        <f t="shared" si="20"/>
        <v>#NUM!</v>
      </c>
      <c r="AD251" s="1413">
        <f t="shared" si="20"/>
        <v>0</v>
      </c>
      <c r="AE251" s="1411">
        <v>30</v>
      </c>
      <c r="AF251" s="1411">
        <f t="shared" si="14"/>
        <v>0</v>
      </c>
      <c r="AG251" s="1412" t="e">
        <f t="shared" si="15"/>
        <v>#NUM!</v>
      </c>
      <c r="AH251" s="1415"/>
      <c r="AI251" s="1434"/>
      <c r="AJ251" s="1414"/>
    </row>
    <row r="252" spans="26:36" ht="15">
      <c r="Z252" s="1411">
        <v>187</v>
      </c>
      <c r="AA252" s="1417" t="s">
        <v>2491</v>
      </c>
      <c r="AB252" s="1419" t="e">
        <f t="shared" si="16"/>
        <v>#NUM!</v>
      </c>
      <c r="AC252" s="1418" t="e">
        <f t="shared" si="20"/>
        <v>#NUM!</v>
      </c>
      <c r="AD252" s="1413">
        <f t="shared" si="20"/>
        <v>0</v>
      </c>
      <c r="AE252" s="1411">
        <v>30</v>
      </c>
      <c r="AF252" s="1411">
        <f t="shared" si="14"/>
        <v>0</v>
      </c>
      <c r="AG252" s="1412" t="e">
        <f t="shared" si="15"/>
        <v>#NUM!</v>
      </c>
      <c r="AH252" s="1415"/>
      <c r="AI252" s="1434"/>
      <c r="AJ252" s="1414"/>
    </row>
    <row r="253" spans="26:36" ht="15">
      <c r="Z253" s="1411">
        <v>188</v>
      </c>
      <c r="AA253" s="1417" t="s">
        <v>2491</v>
      </c>
      <c r="AB253" s="1419" t="e">
        <f t="shared" si="16"/>
        <v>#NUM!</v>
      </c>
      <c r="AC253" s="1418" t="e">
        <f t="shared" si="20"/>
        <v>#NUM!</v>
      </c>
      <c r="AD253" s="1413">
        <f t="shared" si="20"/>
        <v>0</v>
      </c>
      <c r="AE253" s="1411">
        <v>30</v>
      </c>
      <c r="AF253" s="1411">
        <f t="shared" si="14"/>
        <v>0</v>
      </c>
      <c r="AG253" s="1412" t="e">
        <f t="shared" si="15"/>
        <v>#NUM!</v>
      </c>
      <c r="AH253" s="1415"/>
      <c r="AI253" s="1434"/>
      <c r="AJ253" s="1414"/>
    </row>
    <row r="254" spans="26:36" ht="15">
      <c r="Z254" s="1411">
        <v>189</v>
      </c>
      <c r="AA254" s="1417" t="s">
        <v>2491</v>
      </c>
      <c r="AB254" s="1419" t="e">
        <f t="shared" si="16"/>
        <v>#NUM!</v>
      </c>
      <c r="AC254" s="1418" t="e">
        <f t="shared" si="20"/>
        <v>#NUM!</v>
      </c>
      <c r="AD254" s="1413">
        <f t="shared" si="20"/>
        <v>0</v>
      </c>
      <c r="AE254" s="1411">
        <v>30</v>
      </c>
      <c r="AF254" s="1411">
        <f t="shared" si="14"/>
        <v>0</v>
      </c>
      <c r="AG254" s="1412" t="e">
        <f t="shared" si="15"/>
        <v>#NUM!</v>
      </c>
      <c r="AH254" s="1415"/>
      <c r="AI254" s="1434"/>
      <c r="AJ254" s="1414"/>
    </row>
    <row r="255" spans="26:36" ht="15">
      <c r="Z255" s="1411">
        <v>190</v>
      </c>
      <c r="AA255" s="1417" t="s">
        <v>2491</v>
      </c>
      <c r="AB255" s="1419" t="e">
        <f t="shared" si="16"/>
        <v>#NUM!</v>
      </c>
      <c r="AC255" s="1418" t="e">
        <f t="shared" si="20"/>
        <v>#NUM!</v>
      </c>
      <c r="AD255" s="1413">
        <f t="shared" si="20"/>
        <v>0</v>
      </c>
      <c r="AE255" s="1411">
        <v>30</v>
      </c>
      <c r="AF255" s="1411">
        <f t="shared" si="14"/>
        <v>0</v>
      </c>
      <c r="AG255" s="1412" t="e">
        <f t="shared" si="15"/>
        <v>#NUM!</v>
      </c>
      <c r="AH255" s="1415"/>
      <c r="AI255" s="1434"/>
      <c r="AJ255" s="1414"/>
    </row>
    <row r="256" spans="26:36" ht="15">
      <c r="Z256" s="1411">
        <v>191</v>
      </c>
      <c r="AA256" s="1417" t="s">
        <v>2491</v>
      </c>
      <c r="AB256" s="1419" t="e">
        <f t="shared" si="16"/>
        <v>#NUM!</v>
      </c>
      <c r="AC256" s="1418" t="e">
        <f t="shared" si="20"/>
        <v>#NUM!</v>
      </c>
      <c r="AD256" s="1413">
        <f t="shared" si="20"/>
        <v>0</v>
      </c>
      <c r="AE256" s="1411">
        <v>30</v>
      </c>
      <c r="AF256" s="1411">
        <f t="shared" si="14"/>
        <v>0</v>
      </c>
      <c r="AG256" s="1412" t="e">
        <f t="shared" si="15"/>
        <v>#NUM!</v>
      </c>
      <c r="AH256" s="1415"/>
      <c r="AI256" s="1434"/>
      <c r="AJ256" s="1414"/>
    </row>
    <row r="257" spans="26:36" ht="15">
      <c r="Z257" s="1411">
        <v>192</v>
      </c>
      <c r="AA257" s="1417" t="s">
        <v>2491</v>
      </c>
      <c r="AB257" s="1419" t="e">
        <f t="shared" si="16"/>
        <v>#NUM!</v>
      </c>
      <c r="AC257" s="1418" t="e">
        <f t="shared" si="20"/>
        <v>#NUM!</v>
      </c>
      <c r="AD257" s="1413">
        <f t="shared" si="20"/>
        <v>0</v>
      </c>
      <c r="AE257" s="1411">
        <v>30</v>
      </c>
      <c r="AF257" s="1411">
        <f t="shared" si="14"/>
        <v>0</v>
      </c>
      <c r="AG257" s="1412" t="e">
        <f t="shared" si="15"/>
        <v>#NUM!</v>
      </c>
      <c r="AH257" s="1415"/>
      <c r="AI257" s="1434"/>
      <c r="AJ257" s="1414"/>
    </row>
    <row r="258" spans="26:36" ht="15">
      <c r="Z258" s="1411">
        <v>193</v>
      </c>
      <c r="AA258" s="1417" t="s">
        <v>2491</v>
      </c>
      <c r="AB258" s="1419" t="e">
        <f t="shared" si="16"/>
        <v>#NUM!</v>
      </c>
      <c r="AC258" s="1418" t="e">
        <f t="shared" si="20"/>
        <v>#NUM!</v>
      </c>
      <c r="AD258" s="1413">
        <f t="shared" si="20"/>
        <v>0</v>
      </c>
      <c r="AE258" s="1411">
        <v>30</v>
      </c>
      <c r="AF258" s="1411">
        <f t="shared" ref="AF258:AF321" si="21">AD258/360</f>
        <v>0</v>
      </c>
      <c r="AG258" s="1412" t="e">
        <f t="shared" ref="AG258:AG321" si="22">+AB258*AE258*AF258</f>
        <v>#NUM!</v>
      </c>
      <c r="AH258" s="1415" t="e">
        <f>MAX(0,AB258*0.005)</f>
        <v>#NUM!</v>
      </c>
      <c r="AI258" s="1434">
        <v>17</v>
      </c>
      <c r="AJ258" s="1414"/>
    </row>
    <row r="259" spans="26:36" ht="15">
      <c r="Z259" s="1411">
        <v>194</v>
      </c>
      <c r="AA259" s="1417" t="s">
        <v>2491</v>
      </c>
      <c r="AB259" s="1419" t="e">
        <f t="shared" ref="AB259:AB322" si="23">+AB258-AC258+AG258</f>
        <v>#NUM!</v>
      </c>
      <c r="AC259" s="1418" t="e">
        <f t="shared" si="20"/>
        <v>#NUM!</v>
      </c>
      <c r="AD259" s="1413">
        <f t="shared" si="20"/>
        <v>0</v>
      </c>
      <c r="AE259" s="1411">
        <v>30</v>
      </c>
      <c r="AF259" s="1411">
        <f t="shared" si="21"/>
        <v>0</v>
      </c>
      <c r="AG259" s="1412" t="e">
        <f t="shared" si="22"/>
        <v>#NUM!</v>
      </c>
      <c r="AH259" s="1415"/>
      <c r="AI259" s="1434"/>
      <c r="AJ259" s="1414"/>
    </row>
    <row r="260" spans="26:36" ht="15">
      <c r="Z260" s="1411">
        <v>195</v>
      </c>
      <c r="AA260" s="1417" t="s">
        <v>2491</v>
      </c>
      <c r="AB260" s="1419" t="e">
        <f t="shared" si="23"/>
        <v>#NUM!</v>
      </c>
      <c r="AC260" s="1418" t="e">
        <f t="shared" ref="AC260:AD275" si="24">+AC259</f>
        <v>#NUM!</v>
      </c>
      <c r="AD260" s="1413">
        <f t="shared" si="24"/>
        <v>0</v>
      </c>
      <c r="AE260" s="1411">
        <v>30</v>
      </c>
      <c r="AF260" s="1411">
        <f t="shared" si="21"/>
        <v>0</v>
      </c>
      <c r="AG260" s="1412" t="e">
        <f t="shared" si="22"/>
        <v>#NUM!</v>
      </c>
      <c r="AH260" s="1415"/>
      <c r="AI260" s="1434"/>
      <c r="AJ260" s="1414"/>
    </row>
    <row r="261" spans="26:36" ht="15">
      <c r="Z261" s="1411">
        <v>196</v>
      </c>
      <c r="AA261" s="1417" t="s">
        <v>2491</v>
      </c>
      <c r="AB261" s="1419" t="e">
        <f t="shared" si="23"/>
        <v>#NUM!</v>
      </c>
      <c r="AC261" s="1418" t="e">
        <f t="shared" si="24"/>
        <v>#NUM!</v>
      </c>
      <c r="AD261" s="1413">
        <f t="shared" si="24"/>
        <v>0</v>
      </c>
      <c r="AE261" s="1411">
        <v>30</v>
      </c>
      <c r="AF261" s="1411">
        <f t="shared" si="21"/>
        <v>0</v>
      </c>
      <c r="AG261" s="1412" t="e">
        <f t="shared" si="22"/>
        <v>#NUM!</v>
      </c>
      <c r="AH261" s="1415"/>
      <c r="AI261" s="1434"/>
      <c r="AJ261" s="1414"/>
    </row>
    <row r="262" spans="26:36" ht="15">
      <c r="Z262" s="1411">
        <v>197</v>
      </c>
      <c r="AA262" s="1417" t="s">
        <v>2491</v>
      </c>
      <c r="AB262" s="1419" t="e">
        <f t="shared" si="23"/>
        <v>#NUM!</v>
      </c>
      <c r="AC262" s="1418" t="e">
        <f t="shared" si="24"/>
        <v>#NUM!</v>
      </c>
      <c r="AD262" s="1413">
        <f t="shared" si="24"/>
        <v>0</v>
      </c>
      <c r="AE262" s="1411">
        <v>30</v>
      </c>
      <c r="AF262" s="1411">
        <f t="shared" si="21"/>
        <v>0</v>
      </c>
      <c r="AG262" s="1412" t="e">
        <f t="shared" si="22"/>
        <v>#NUM!</v>
      </c>
      <c r="AH262" s="1415"/>
      <c r="AI262" s="1434"/>
      <c r="AJ262" s="1414"/>
    </row>
    <row r="263" spans="26:36" ht="15">
      <c r="Z263" s="1411">
        <v>198</v>
      </c>
      <c r="AA263" s="1417" t="s">
        <v>2491</v>
      </c>
      <c r="AB263" s="1419" t="e">
        <f t="shared" si="23"/>
        <v>#NUM!</v>
      </c>
      <c r="AC263" s="1418" t="e">
        <f t="shared" si="24"/>
        <v>#NUM!</v>
      </c>
      <c r="AD263" s="1413">
        <f t="shared" si="24"/>
        <v>0</v>
      </c>
      <c r="AE263" s="1411">
        <v>30</v>
      </c>
      <c r="AF263" s="1411">
        <f t="shared" si="21"/>
        <v>0</v>
      </c>
      <c r="AG263" s="1412" t="e">
        <f t="shared" si="22"/>
        <v>#NUM!</v>
      </c>
      <c r="AH263" s="1415"/>
      <c r="AI263" s="1434"/>
      <c r="AJ263" s="1414"/>
    </row>
    <row r="264" spans="26:36" ht="15">
      <c r="Z264" s="1411">
        <v>199</v>
      </c>
      <c r="AA264" s="1417" t="s">
        <v>2491</v>
      </c>
      <c r="AB264" s="1419" t="e">
        <f t="shared" si="23"/>
        <v>#NUM!</v>
      </c>
      <c r="AC264" s="1418" t="e">
        <f t="shared" si="24"/>
        <v>#NUM!</v>
      </c>
      <c r="AD264" s="1413">
        <f t="shared" si="24"/>
        <v>0</v>
      </c>
      <c r="AE264" s="1411">
        <v>30</v>
      </c>
      <c r="AF264" s="1411">
        <f t="shared" si="21"/>
        <v>0</v>
      </c>
      <c r="AG264" s="1412" t="e">
        <f t="shared" si="22"/>
        <v>#NUM!</v>
      </c>
      <c r="AH264" s="1415"/>
      <c r="AI264" s="1434"/>
      <c r="AJ264" s="1414"/>
    </row>
    <row r="265" spans="26:36" ht="15">
      <c r="Z265" s="1411">
        <v>200</v>
      </c>
      <c r="AA265" s="1417" t="s">
        <v>2491</v>
      </c>
      <c r="AB265" s="1419" t="e">
        <f t="shared" si="23"/>
        <v>#NUM!</v>
      </c>
      <c r="AC265" s="1418" t="e">
        <f t="shared" si="24"/>
        <v>#NUM!</v>
      </c>
      <c r="AD265" s="1413">
        <f t="shared" si="24"/>
        <v>0</v>
      </c>
      <c r="AE265" s="1411">
        <v>30</v>
      </c>
      <c r="AF265" s="1411">
        <f t="shared" si="21"/>
        <v>0</v>
      </c>
      <c r="AG265" s="1412" t="e">
        <f t="shared" si="22"/>
        <v>#NUM!</v>
      </c>
      <c r="AH265" s="1415"/>
      <c r="AI265" s="1434"/>
      <c r="AJ265" s="1414"/>
    </row>
    <row r="266" spans="26:36" ht="15">
      <c r="Z266" s="1411">
        <v>201</v>
      </c>
      <c r="AA266" s="1417" t="s">
        <v>2491</v>
      </c>
      <c r="AB266" s="1419" t="e">
        <f t="shared" si="23"/>
        <v>#NUM!</v>
      </c>
      <c r="AC266" s="1418" t="e">
        <f t="shared" si="24"/>
        <v>#NUM!</v>
      </c>
      <c r="AD266" s="1413">
        <f t="shared" si="24"/>
        <v>0</v>
      </c>
      <c r="AE266" s="1411">
        <v>30</v>
      </c>
      <c r="AF266" s="1411">
        <f t="shared" si="21"/>
        <v>0</v>
      </c>
      <c r="AG266" s="1412" t="e">
        <f t="shared" si="22"/>
        <v>#NUM!</v>
      </c>
      <c r="AH266" s="1415"/>
      <c r="AI266" s="1434"/>
      <c r="AJ266" s="1414"/>
    </row>
    <row r="267" spans="26:36" ht="15">
      <c r="Z267" s="1411">
        <v>202</v>
      </c>
      <c r="AA267" s="1417" t="s">
        <v>2491</v>
      </c>
      <c r="AB267" s="1419" t="e">
        <f t="shared" si="23"/>
        <v>#NUM!</v>
      </c>
      <c r="AC267" s="1418" t="e">
        <f t="shared" si="24"/>
        <v>#NUM!</v>
      </c>
      <c r="AD267" s="1413">
        <f t="shared" si="24"/>
        <v>0</v>
      </c>
      <c r="AE267" s="1411">
        <v>30</v>
      </c>
      <c r="AF267" s="1411">
        <f t="shared" si="21"/>
        <v>0</v>
      </c>
      <c r="AG267" s="1412" t="e">
        <f t="shared" si="22"/>
        <v>#NUM!</v>
      </c>
      <c r="AH267" s="1415"/>
      <c r="AI267" s="1434"/>
      <c r="AJ267" s="1414"/>
    </row>
    <row r="268" spans="26:36" ht="15">
      <c r="Z268" s="1411">
        <v>203</v>
      </c>
      <c r="AA268" s="1417" t="s">
        <v>2491</v>
      </c>
      <c r="AB268" s="1419" t="e">
        <f t="shared" si="23"/>
        <v>#NUM!</v>
      </c>
      <c r="AC268" s="1418" t="e">
        <f t="shared" si="24"/>
        <v>#NUM!</v>
      </c>
      <c r="AD268" s="1413">
        <f t="shared" si="24"/>
        <v>0</v>
      </c>
      <c r="AE268" s="1411">
        <v>30</v>
      </c>
      <c r="AF268" s="1411">
        <f t="shared" si="21"/>
        <v>0</v>
      </c>
      <c r="AG268" s="1412" t="e">
        <f t="shared" si="22"/>
        <v>#NUM!</v>
      </c>
      <c r="AH268" s="1415"/>
      <c r="AI268" s="1434"/>
      <c r="AJ268" s="1414"/>
    </row>
    <row r="269" spans="26:36" ht="15">
      <c r="Z269" s="1411">
        <v>204</v>
      </c>
      <c r="AA269" s="1417" t="s">
        <v>2491</v>
      </c>
      <c r="AB269" s="1419" t="e">
        <f t="shared" si="23"/>
        <v>#NUM!</v>
      </c>
      <c r="AC269" s="1418" t="e">
        <f t="shared" si="24"/>
        <v>#NUM!</v>
      </c>
      <c r="AD269" s="1413">
        <f t="shared" si="24"/>
        <v>0</v>
      </c>
      <c r="AE269" s="1411">
        <v>30</v>
      </c>
      <c r="AF269" s="1411">
        <f t="shared" si="21"/>
        <v>0</v>
      </c>
      <c r="AG269" s="1412" t="e">
        <f t="shared" si="22"/>
        <v>#NUM!</v>
      </c>
      <c r="AH269" s="1415"/>
      <c r="AI269" s="1434"/>
      <c r="AJ269" s="1414"/>
    </row>
    <row r="270" spans="26:36" ht="15">
      <c r="Z270" s="1411">
        <v>205</v>
      </c>
      <c r="AA270" s="1417" t="s">
        <v>2491</v>
      </c>
      <c r="AB270" s="1419" t="e">
        <f t="shared" si="23"/>
        <v>#NUM!</v>
      </c>
      <c r="AC270" s="1418" t="e">
        <f t="shared" si="24"/>
        <v>#NUM!</v>
      </c>
      <c r="AD270" s="1413">
        <f t="shared" si="24"/>
        <v>0</v>
      </c>
      <c r="AE270" s="1411">
        <v>30</v>
      </c>
      <c r="AF270" s="1411">
        <f t="shared" si="21"/>
        <v>0</v>
      </c>
      <c r="AG270" s="1412" t="e">
        <f t="shared" si="22"/>
        <v>#NUM!</v>
      </c>
      <c r="AH270" s="1415" t="e">
        <f>MAX(0,AB270*0.005)</f>
        <v>#NUM!</v>
      </c>
      <c r="AI270" s="1434">
        <v>18</v>
      </c>
      <c r="AJ270" s="1414"/>
    </row>
    <row r="271" spans="26:36" ht="15">
      <c r="Z271" s="1411">
        <v>206</v>
      </c>
      <c r="AA271" s="1417" t="s">
        <v>2491</v>
      </c>
      <c r="AB271" s="1419" t="e">
        <f t="shared" si="23"/>
        <v>#NUM!</v>
      </c>
      <c r="AC271" s="1418" t="e">
        <f t="shared" si="24"/>
        <v>#NUM!</v>
      </c>
      <c r="AD271" s="1413">
        <f t="shared" si="24"/>
        <v>0</v>
      </c>
      <c r="AE271" s="1411">
        <v>30</v>
      </c>
      <c r="AF271" s="1411">
        <f t="shared" si="21"/>
        <v>0</v>
      </c>
      <c r="AG271" s="1412" t="e">
        <f t="shared" si="22"/>
        <v>#NUM!</v>
      </c>
      <c r="AH271" s="1415"/>
      <c r="AI271" s="1434"/>
      <c r="AJ271" s="1414"/>
    </row>
    <row r="272" spans="26:36" ht="15">
      <c r="Z272" s="1411">
        <v>207</v>
      </c>
      <c r="AA272" s="1417" t="s">
        <v>2491</v>
      </c>
      <c r="AB272" s="1419" t="e">
        <f t="shared" si="23"/>
        <v>#NUM!</v>
      </c>
      <c r="AC272" s="1418" t="e">
        <f t="shared" si="24"/>
        <v>#NUM!</v>
      </c>
      <c r="AD272" s="1413">
        <f t="shared" si="24"/>
        <v>0</v>
      </c>
      <c r="AE272" s="1411">
        <v>30</v>
      </c>
      <c r="AF272" s="1411">
        <f t="shared" si="21"/>
        <v>0</v>
      </c>
      <c r="AG272" s="1412" t="e">
        <f t="shared" si="22"/>
        <v>#NUM!</v>
      </c>
      <c r="AH272" s="1415"/>
      <c r="AI272" s="1434"/>
      <c r="AJ272" s="1414"/>
    </row>
    <row r="273" spans="26:36" ht="15">
      <c r="Z273" s="1411">
        <v>208</v>
      </c>
      <c r="AA273" s="1417" t="s">
        <v>2491</v>
      </c>
      <c r="AB273" s="1419" t="e">
        <f t="shared" si="23"/>
        <v>#NUM!</v>
      </c>
      <c r="AC273" s="1418" t="e">
        <f t="shared" si="24"/>
        <v>#NUM!</v>
      </c>
      <c r="AD273" s="1413">
        <f t="shared" si="24"/>
        <v>0</v>
      </c>
      <c r="AE273" s="1411">
        <v>30</v>
      </c>
      <c r="AF273" s="1411">
        <f t="shared" si="21"/>
        <v>0</v>
      </c>
      <c r="AG273" s="1412" t="e">
        <f t="shared" si="22"/>
        <v>#NUM!</v>
      </c>
      <c r="AH273" s="1415"/>
      <c r="AI273" s="1434"/>
      <c r="AJ273" s="1414"/>
    </row>
    <row r="274" spans="26:36" ht="15">
      <c r="Z274" s="1411">
        <v>209</v>
      </c>
      <c r="AA274" s="1417" t="s">
        <v>2491</v>
      </c>
      <c r="AB274" s="1419" t="e">
        <f t="shared" si="23"/>
        <v>#NUM!</v>
      </c>
      <c r="AC274" s="1418" t="e">
        <f t="shared" si="24"/>
        <v>#NUM!</v>
      </c>
      <c r="AD274" s="1413">
        <f t="shared" si="24"/>
        <v>0</v>
      </c>
      <c r="AE274" s="1411">
        <v>30</v>
      </c>
      <c r="AF274" s="1411">
        <f t="shared" si="21"/>
        <v>0</v>
      </c>
      <c r="AG274" s="1412" t="e">
        <f t="shared" si="22"/>
        <v>#NUM!</v>
      </c>
      <c r="AH274" s="1415"/>
      <c r="AI274" s="1434"/>
      <c r="AJ274" s="1414"/>
    </row>
    <row r="275" spans="26:36" ht="15">
      <c r="Z275" s="1411">
        <v>210</v>
      </c>
      <c r="AA275" s="1417" t="s">
        <v>2491</v>
      </c>
      <c r="AB275" s="1419" t="e">
        <f t="shared" si="23"/>
        <v>#NUM!</v>
      </c>
      <c r="AC275" s="1418" t="e">
        <f t="shared" si="24"/>
        <v>#NUM!</v>
      </c>
      <c r="AD275" s="1413">
        <f t="shared" si="24"/>
        <v>0</v>
      </c>
      <c r="AE275" s="1411">
        <v>30</v>
      </c>
      <c r="AF275" s="1411">
        <f t="shared" si="21"/>
        <v>0</v>
      </c>
      <c r="AG275" s="1412" t="e">
        <f t="shared" si="22"/>
        <v>#NUM!</v>
      </c>
      <c r="AH275" s="1415"/>
      <c r="AI275" s="1434"/>
      <c r="AJ275" s="1414"/>
    </row>
    <row r="276" spans="26:36" ht="15">
      <c r="Z276" s="1411">
        <v>211</v>
      </c>
      <c r="AA276" s="1417" t="s">
        <v>2491</v>
      </c>
      <c r="AB276" s="1419" t="e">
        <f t="shared" si="23"/>
        <v>#NUM!</v>
      </c>
      <c r="AC276" s="1418" t="e">
        <f t="shared" ref="AC276:AD291" si="25">+AC275</f>
        <v>#NUM!</v>
      </c>
      <c r="AD276" s="1413">
        <f t="shared" si="25"/>
        <v>0</v>
      </c>
      <c r="AE276" s="1411">
        <v>30</v>
      </c>
      <c r="AF276" s="1411">
        <f t="shared" si="21"/>
        <v>0</v>
      </c>
      <c r="AG276" s="1412" t="e">
        <f t="shared" si="22"/>
        <v>#NUM!</v>
      </c>
      <c r="AH276" s="1415"/>
      <c r="AI276" s="1434"/>
      <c r="AJ276" s="1414"/>
    </row>
    <row r="277" spans="26:36" ht="15">
      <c r="Z277" s="1411">
        <v>212</v>
      </c>
      <c r="AA277" s="1417" t="s">
        <v>2491</v>
      </c>
      <c r="AB277" s="1419" t="e">
        <f t="shared" si="23"/>
        <v>#NUM!</v>
      </c>
      <c r="AC277" s="1418" t="e">
        <f t="shared" si="25"/>
        <v>#NUM!</v>
      </c>
      <c r="AD277" s="1413">
        <f t="shared" si="25"/>
        <v>0</v>
      </c>
      <c r="AE277" s="1411">
        <v>30</v>
      </c>
      <c r="AF277" s="1411">
        <f t="shared" si="21"/>
        <v>0</v>
      </c>
      <c r="AG277" s="1412" t="e">
        <f t="shared" si="22"/>
        <v>#NUM!</v>
      </c>
      <c r="AH277" s="1415"/>
      <c r="AI277" s="1434"/>
      <c r="AJ277" s="1414"/>
    </row>
    <row r="278" spans="26:36" ht="15">
      <c r="Z278" s="1411">
        <v>213</v>
      </c>
      <c r="AA278" s="1417" t="s">
        <v>2491</v>
      </c>
      <c r="AB278" s="1419" t="e">
        <f t="shared" si="23"/>
        <v>#NUM!</v>
      </c>
      <c r="AC278" s="1418" t="e">
        <f t="shared" si="25"/>
        <v>#NUM!</v>
      </c>
      <c r="AD278" s="1413">
        <f t="shared" si="25"/>
        <v>0</v>
      </c>
      <c r="AE278" s="1411">
        <v>30</v>
      </c>
      <c r="AF278" s="1411">
        <f t="shared" si="21"/>
        <v>0</v>
      </c>
      <c r="AG278" s="1412" t="e">
        <f t="shared" si="22"/>
        <v>#NUM!</v>
      </c>
      <c r="AH278" s="1415"/>
      <c r="AI278" s="1434"/>
      <c r="AJ278" s="1414"/>
    </row>
    <row r="279" spans="26:36" ht="15">
      <c r="Z279" s="1411">
        <v>214</v>
      </c>
      <c r="AA279" s="1417" t="s">
        <v>2491</v>
      </c>
      <c r="AB279" s="1419" t="e">
        <f t="shared" si="23"/>
        <v>#NUM!</v>
      </c>
      <c r="AC279" s="1418" t="e">
        <f t="shared" si="25"/>
        <v>#NUM!</v>
      </c>
      <c r="AD279" s="1413">
        <f t="shared" si="25"/>
        <v>0</v>
      </c>
      <c r="AE279" s="1411">
        <v>30</v>
      </c>
      <c r="AF279" s="1411">
        <f t="shared" si="21"/>
        <v>0</v>
      </c>
      <c r="AG279" s="1412" t="e">
        <f t="shared" si="22"/>
        <v>#NUM!</v>
      </c>
      <c r="AH279" s="1415"/>
      <c r="AI279" s="1434"/>
      <c r="AJ279" s="1414"/>
    </row>
    <row r="280" spans="26:36" ht="15">
      <c r="Z280" s="1411">
        <v>215</v>
      </c>
      <c r="AA280" s="1417" t="s">
        <v>2491</v>
      </c>
      <c r="AB280" s="1419" t="e">
        <f t="shared" si="23"/>
        <v>#NUM!</v>
      </c>
      <c r="AC280" s="1418" t="e">
        <f t="shared" si="25"/>
        <v>#NUM!</v>
      </c>
      <c r="AD280" s="1413">
        <f t="shared" si="25"/>
        <v>0</v>
      </c>
      <c r="AE280" s="1411">
        <v>30</v>
      </c>
      <c r="AF280" s="1411">
        <f t="shared" si="21"/>
        <v>0</v>
      </c>
      <c r="AG280" s="1412" t="e">
        <f t="shared" si="22"/>
        <v>#NUM!</v>
      </c>
      <c r="AH280" s="1415"/>
      <c r="AI280" s="1434"/>
      <c r="AJ280" s="1414"/>
    </row>
    <row r="281" spans="26:36" ht="15">
      <c r="Z281" s="1411">
        <v>216</v>
      </c>
      <c r="AA281" s="1417" t="s">
        <v>2491</v>
      </c>
      <c r="AB281" s="1419" t="e">
        <f t="shared" si="23"/>
        <v>#NUM!</v>
      </c>
      <c r="AC281" s="1418" t="e">
        <f t="shared" si="25"/>
        <v>#NUM!</v>
      </c>
      <c r="AD281" s="1413">
        <f t="shared" si="25"/>
        <v>0</v>
      </c>
      <c r="AE281" s="1411">
        <v>30</v>
      </c>
      <c r="AF281" s="1411">
        <f t="shared" si="21"/>
        <v>0</v>
      </c>
      <c r="AG281" s="1412" t="e">
        <f t="shared" si="22"/>
        <v>#NUM!</v>
      </c>
      <c r="AH281" s="1415"/>
      <c r="AI281" s="1434"/>
      <c r="AJ281" s="1414"/>
    </row>
    <row r="282" spans="26:36" ht="15">
      <c r="Z282" s="1411">
        <v>217</v>
      </c>
      <c r="AA282" s="1417" t="s">
        <v>2491</v>
      </c>
      <c r="AB282" s="1419" t="e">
        <f t="shared" si="23"/>
        <v>#NUM!</v>
      </c>
      <c r="AC282" s="1418" t="e">
        <f t="shared" si="25"/>
        <v>#NUM!</v>
      </c>
      <c r="AD282" s="1413">
        <f t="shared" si="25"/>
        <v>0</v>
      </c>
      <c r="AE282" s="1411">
        <v>30</v>
      </c>
      <c r="AF282" s="1411">
        <f t="shared" si="21"/>
        <v>0</v>
      </c>
      <c r="AG282" s="1412" t="e">
        <f t="shared" si="22"/>
        <v>#NUM!</v>
      </c>
      <c r="AH282" s="1415" t="e">
        <f>MAX(0,AB282*0.005)</f>
        <v>#NUM!</v>
      </c>
      <c r="AI282" s="1434">
        <v>19</v>
      </c>
      <c r="AJ282" s="1414"/>
    </row>
    <row r="283" spans="26:36" ht="15">
      <c r="Z283" s="1411">
        <v>218</v>
      </c>
      <c r="AA283" s="1417" t="s">
        <v>2491</v>
      </c>
      <c r="AB283" s="1419" t="e">
        <f t="shared" si="23"/>
        <v>#NUM!</v>
      </c>
      <c r="AC283" s="1418" t="e">
        <f t="shared" si="25"/>
        <v>#NUM!</v>
      </c>
      <c r="AD283" s="1413">
        <f t="shared" si="25"/>
        <v>0</v>
      </c>
      <c r="AE283" s="1411">
        <v>30</v>
      </c>
      <c r="AF283" s="1411">
        <f t="shared" si="21"/>
        <v>0</v>
      </c>
      <c r="AG283" s="1412" t="e">
        <f t="shared" si="22"/>
        <v>#NUM!</v>
      </c>
      <c r="AH283" s="1415"/>
      <c r="AI283" s="1434"/>
      <c r="AJ283" s="1414"/>
    </row>
    <row r="284" spans="26:36" ht="15">
      <c r="Z284" s="1411">
        <v>219</v>
      </c>
      <c r="AA284" s="1417" t="s">
        <v>2491</v>
      </c>
      <c r="AB284" s="1419" t="e">
        <f t="shared" si="23"/>
        <v>#NUM!</v>
      </c>
      <c r="AC284" s="1418" t="e">
        <f t="shared" si="25"/>
        <v>#NUM!</v>
      </c>
      <c r="AD284" s="1413">
        <f t="shared" si="25"/>
        <v>0</v>
      </c>
      <c r="AE284" s="1411">
        <v>30</v>
      </c>
      <c r="AF284" s="1411">
        <f t="shared" si="21"/>
        <v>0</v>
      </c>
      <c r="AG284" s="1412" t="e">
        <f t="shared" si="22"/>
        <v>#NUM!</v>
      </c>
      <c r="AH284" s="1415"/>
      <c r="AI284" s="1434"/>
      <c r="AJ284" s="1414"/>
    </row>
    <row r="285" spans="26:36" ht="15">
      <c r="Z285" s="1411">
        <v>220</v>
      </c>
      <c r="AA285" s="1417" t="s">
        <v>2491</v>
      </c>
      <c r="AB285" s="1419" t="e">
        <f t="shared" si="23"/>
        <v>#NUM!</v>
      </c>
      <c r="AC285" s="1418" t="e">
        <f t="shared" si="25"/>
        <v>#NUM!</v>
      </c>
      <c r="AD285" s="1413">
        <f t="shared" si="25"/>
        <v>0</v>
      </c>
      <c r="AE285" s="1411">
        <v>30</v>
      </c>
      <c r="AF285" s="1411">
        <f t="shared" si="21"/>
        <v>0</v>
      </c>
      <c r="AG285" s="1412" t="e">
        <f t="shared" si="22"/>
        <v>#NUM!</v>
      </c>
      <c r="AH285" s="1415"/>
      <c r="AI285" s="1434"/>
      <c r="AJ285" s="1414"/>
    </row>
    <row r="286" spans="26:36" ht="15">
      <c r="Z286" s="1411">
        <v>221</v>
      </c>
      <c r="AA286" s="1417" t="s">
        <v>2491</v>
      </c>
      <c r="AB286" s="1419" t="e">
        <f t="shared" si="23"/>
        <v>#NUM!</v>
      </c>
      <c r="AC286" s="1418" t="e">
        <f t="shared" si="25"/>
        <v>#NUM!</v>
      </c>
      <c r="AD286" s="1413">
        <f t="shared" si="25"/>
        <v>0</v>
      </c>
      <c r="AE286" s="1411">
        <v>30</v>
      </c>
      <c r="AF286" s="1411">
        <f t="shared" si="21"/>
        <v>0</v>
      </c>
      <c r="AG286" s="1412" t="e">
        <f t="shared" si="22"/>
        <v>#NUM!</v>
      </c>
      <c r="AH286" s="1415"/>
      <c r="AI286" s="1434"/>
      <c r="AJ286" s="1414"/>
    </row>
    <row r="287" spans="26:36" ht="15">
      <c r="Z287" s="1411">
        <v>222</v>
      </c>
      <c r="AA287" s="1417" t="s">
        <v>2491</v>
      </c>
      <c r="AB287" s="1419" t="e">
        <f t="shared" si="23"/>
        <v>#NUM!</v>
      </c>
      <c r="AC287" s="1418" t="e">
        <f t="shared" si="25"/>
        <v>#NUM!</v>
      </c>
      <c r="AD287" s="1413">
        <f t="shared" si="25"/>
        <v>0</v>
      </c>
      <c r="AE287" s="1411">
        <v>30</v>
      </c>
      <c r="AF287" s="1411">
        <f t="shared" si="21"/>
        <v>0</v>
      </c>
      <c r="AG287" s="1412" t="e">
        <f t="shared" si="22"/>
        <v>#NUM!</v>
      </c>
      <c r="AH287" s="1415"/>
      <c r="AI287" s="1434"/>
      <c r="AJ287" s="1414"/>
    </row>
    <row r="288" spans="26:36" ht="15">
      <c r="Z288" s="1411">
        <v>223</v>
      </c>
      <c r="AA288" s="1417" t="s">
        <v>2491</v>
      </c>
      <c r="AB288" s="1419" t="e">
        <f t="shared" si="23"/>
        <v>#NUM!</v>
      </c>
      <c r="AC288" s="1418" t="e">
        <f t="shared" si="25"/>
        <v>#NUM!</v>
      </c>
      <c r="AD288" s="1413">
        <f t="shared" si="25"/>
        <v>0</v>
      </c>
      <c r="AE288" s="1411">
        <v>30</v>
      </c>
      <c r="AF288" s="1411">
        <f t="shared" si="21"/>
        <v>0</v>
      </c>
      <c r="AG288" s="1412" t="e">
        <f t="shared" si="22"/>
        <v>#NUM!</v>
      </c>
      <c r="AH288" s="1415"/>
      <c r="AI288" s="1434"/>
      <c r="AJ288" s="1414"/>
    </row>
    <row r="289" spans="26:36" ht="15">
      <c r="Z289" s="1411">
        <v>224</v>
      </c>
      <c r="AA289" s="1417" t="s">
        <v>2491</v>
      </c>
      <c r="AB289" s="1419" t="e">
        <f t="shared" si="23"/>
        <v>#NUM!</v>
      </c>
      <c r="AC289" s="1418" t="e">
        <f t="shared" si="25"/>
        <v>#NUM!</v>
      </c>
      <c r="AD289" s="1413">
        <f t="shared" si="25"/>
        <v>0</v>
      </c>
      <c r="AE289" s="1411">
        <v>30</v>
      </c>
      <c r="AF289" s="1411">
        <f t="shared" si="21"/>
        <v>0</v>
      </c>
      <c r="AG289" s="1412" t="e">
        <f t="shared" si="22"/>
        <v>#NUM!</v>
      </c>
      <c r="AH289" s="1415"/>
      <c r="AI289" s="1434"/>
      <c r="AJ289" s="1414"/>
    </row>
    <row r="290" spans="26:36" ht="15">
      <c r="Z290" s="1411">
        <v>225</v>
      </c>
      <c r="AA290" s="1417" t="s">
        <v>2491</v>
      </c>
      <c r="AB290" s="1419" t="e">
        <f t="shared" si="23"/>
        <v>#NUM!</v>
      </c>
      <c r="AC290" s="1418" t="e">
        <f t="shared" si="25"/>
        <v>#NUM!</v>
      </c>
      <c r="AD290" s="1413">
        <f t="shared" si="25"/>
        <v>0</v>
      </c>
      <c r="AE290" s="1411">
        <v>30</v>
      </c>
      <c r="AF290" s="1411">
        <f t="shared" si="21"/>
        <v>0</v>
      </c>
      <c r="AG290" s="1412" t="e">
        <f t="shared" si="22"/>
        <v>#NUM!</v>
      </c>
      <c r="AH290" s="1415"/>
      <c r="AI290" s="1434"/>
      <c r="AJ290" s="1414"/>
    </row>
    <row r="291" spans="26:36" ht="15">
      <c r="Z291" s="1411">
        <v>226</v>
      </c>
      <c r="AA291" s="1417" t="s">
        <v>2491</v>
      </c>
      <c r="AB291" s="1419" t="e">
        <f t="shared" si="23"/>
        <v>#NUM!</v>
      </c>
      <c r="AC291" s="1418" t="e">
        <f t="shared" si="25"/>
        <v>#NUM!</v>
      </c>
      <c r="AD291" s="1413">
        <f t="shared" si="25"/>
        <v>0</v>
      </c>
      <c r="AE291" s="1411">
        <v>30</v>
      </c>
      <c r="AF291" s="1411">
        <f t="shared" si="21"/>
        <v>0</v>
      </c>
      <c r="AG291" s="1412" t="e">
        <f t="shared" si="22"/>
        <v>#NUM!</v>
      </c>
      <c r="AH291" s="1415"/>
      <c r="AI291" s="1434"/>
      <c r="AJ291" s="1414"/>
    </row>
    <row r="292" spans="26:36" ht="15">
      <c r="Z292" s="1411">
        <v>227</v>
      </c>
      <c r="AA292" s="1417" t="s">
        <v>2491</v>
      </c>
      <c r="AB292" s="1419" t="e">
        <f t="shared" si="23"/>
        <v>#NUM!</v>
      </c>
      <c r="AC292" s="1418" t="e">
        <f t="shared" ref="AC292:AD307" si="26">+AC291</f>
        <v>#NUM!</v>
      </c>
      <c r="AD292" s="1413">
        <f t="shared" si="26"/>
        <v>0</v>
      </c>
      <c r="AE292" s="1411">
        <v>30</v>
      </c>
      <c r="AF292" s="1411">
        <f t="shared" si="21"/>
        <v>0</v>
      </c>
      <c r="AG292" s="1412" t="e">
        <f t="shared" si="22"/>
        <v>#NUM!</v>
      </c>
      <c r="AH292" s="1415"/>
      <c r="AI292" s="1434"/>
      <c r="AJ292" s="1414"/>
    </row>
    <row r="293" spans="26:36" ht="15">
      <c r="Z293" s="1411">
        <v>228</v>
      </c>
      <c r="AA293" s="1417" t="s">
        <v>2491</v>
      </c>
      <c r="AB293" s="1419" t="e">
        <f t="shared" si="23"/>
        <v>#NUM!</v>
      </c>
      <c r="AC293" s="1418" t="e">
        <f t="shared" si="26"/>
        <v>#NUM!</v>
      </c>
      <c r="AD293" s="1413">
        <f t="shared" si="26"/>
        <v>0</v>
      </c>
      <c r="AE293" s="1411">
        <v>30</v>
      </c>
      <c r="AF293" s="1411">
        <f t="shared" si="21"/>
        <v>0</v>
      </c>
      <c r="AG293" s="1412" t="e">
        <f t="shared" si="22"/>
        <v>#NUM!</v>
      </c>
      <c r="AH293" s="1415"/>
      <c r="AI293" s="1434"/>
      <c r="AJ293" s="1414"/>
    </row>
    <row r="294" spans="26:36" ht="15">
      <c r="Z294" s="1411">
        <v>229</v>
      </c>
      <c r="AA294" s="1417" t="s">
        <v>2491</v>
      </c>
      <c r="AB294" s="1419" t="e">
        <f t="shared" si="23"/>
        <v>#NUM!</v>
      </c>
      <c r="AC294" s="1418" t="e">
        <f t="shared" si="26"/>
        <v>#NUM!</v>
      </c>
      <c r="AD294" s="1413">
        <f t="shared" si="26"/>
        <v>0</v>
      </c>
      <c r="AE294" s="1411">
        <v>30</v>
      </c>
      <c r="AF294" s="1411">
        <f t="shared" si="21"/>
        <v>0</v>
      </c>
      <c r="AG294" s="1412" t="e">
        <f t="shared" si="22"/>
        <v>#NUM!</v>
      </c>
      <c r="AH294" s="1415" t="e">
        <f>MAX(0,AB294*0.005)</f>
        <v>#NUM!</v>
      </c>
      <c r="AI294" s="1434">
        <v>20</v>
      </c>
      <c r="AJ294" s="1414"/>
    </row>
    <row r="295" spans="26:36" ht="15">
      <c r="Z295" s="1411">
        <v>230</v>
      </c>
      <c r="AA295" s="1417" t="s">
        <v>2491</v>
      </c>
      <c r="AB295" s="1419" t="e">
        <f t="shared" si="23"/>
        <v>#NUM!</v>
      </c>
      <c r="AC295" s="1418" t="e">
        <f t="shared" si="26"/>
        <v>#NUM!</v>
      </c>
      <c r="AD295" s="1413">
        <f t="shared" si="26"/>
        <v>0</v>
      </c>
      <c r="AE295" s="1411">
        <v>30</v>
      </c>
      <c r="AF295" s="1411">
        <f t="shared" si="21"/>
        <v>0</v>
      </c>
      <c r="AG295" s="1412" t="e">
        <f t="shared" si="22"/>
        <v>#NUM!</v>
      </c>
      <c r="AH295" s="1415"/>
      <c r="AI295" s="1434"/>
      <c r="AJ295" s="1414"/>
    </row>
    <row r="296" spans="26:36" ht="15">
      <c r="Z296" s="1411">
        <v>231</v>
      </c>
      <c r="AA296" s="1417" t="s">
        <v>2491</v>
      </c>
      <c r="AB296" s="1419" t="e">
        <f t="shared" si="23"/>
        <v>#NUM!</v>
      </c>
      <c r="AC296" s="1418" t="e">
        <f t="shared" si="26"/>
        <v>#NUM!</v>
      </c>
      <c r="AD296" s="1413">
        <f t="shared" si="26"/>
        <v>0</v>
      </c>
      <c r="AE296" s="1411">
        <v>30</v>
      </c>
      <c r="AF296" s="1411">
        <f t="shared" si="21"/>
        <v>0</v>
      </c>
      <c r="AG296" s="1412" t="e">
        <f t="shared" si="22"/>
        <v>#NUM!</v>
      </c>
      <c r="AH296" s="1415"/>
      <c r="AI296" s="1434"/>
      <c r="AJ296" s="1414"/>
    </row>
    <row r="297" spans="26:36" ht="15">
      <c r="Z297" s="1411">
        <v>232</v>
      </c>
      <c r="AA297" s="1417" t="s">
        <v>2491</v>
      </c>
      <c r="AB297" s="1419" t="e">
        <f t="shared" si="23"/>
        <v>#NUM!</v>
      </c>
      <c r="AC297" s="1418" t="e">
        <f t="shared" si="26"/>
        <v>#NUM!</v>
      </c>
      <c r="AD297" s="1413">
        <f t="shared" si="26"/>
        <v>0</v>
      </c>
      <c r="AE297" s="1411">
        <v>30</v>
      </c>
      <c r="AF297" s="1411">
        <f t="shared" si="21"/>
        <v>0</v>
      </c>
      <c r="AG297" s="1412" t="e">
        <f t="shared" si="22"/>
        <v>#NUM!</v>
      </c>
      <c r="AH297" s="1415"/>
      <c r="AI297" s="1434"/>
      <c r="AJ297" s="1414"/>
    </row>
    <row r="298" spans="26:36" ht="15">
      <c r="Z298" s="1411">
        <v>233</v>
      </c>
      <c r="AA298" s="1417" t="s">
        <v>2491</v>
      </c>
      <c r="AB298" s="1419" t="e">
        <f t="shared" si="23"/>
        <v>#NUM!</v>
      </c>
      <c r="AC298" s="1418" t="e">
        <f t="shared" si="26"/>
        <v>#NUM!</v>
      </c>
      <c r="AD298" s="1413">
        <f t="shared" si="26"/>
        <v>0</v>
      </c>
      <c r="AE298" s="1411">
        <v>30</v>
      </c>
      <c r="AF298" s="1411">
        <f t="shared" si="21"/>
        <v>0</v>
      </c>
      <c r="AG298" s="1412" t="e">
        <f t="shared" si="22"/>
        <v>#NUM!</v>
      </c>
      <c r="AH298" s="1415"/>
      <c r="AI298" s="1434"/>
      <c r="AJ298" s="1414"/>
    </row>
    <row r="299" spans="26:36" ht="15">
      <c r="Z299" s="1411">
        <v>234</v>
      </c>
      <c r="AA299" s="1417" t="s">
        <v>2491</v>
      </c>
      <c r="AB299" s="1419" t="e">
        <f t="shared" si="23"/>
        <v>#NUM!</v>
      </c>
      <c r="AC299" s="1418" t="e">
        <f t="shared" si="26"/>
        <v>#NUM!</v>
      </c>
      <c r="AD299" s="1413">
        <f t="shared" si="26"/>
        <v>0</v>
      </c>
      <c r="AE299" s="1411">
        <v>30</v>
      </c>
      <c r="AF299" s="1411">
        <f t="shared" si="21"/>
        <v>0</v>
      </c>
      <c r="AG299" s="1412" t="e">
        <f t="shared" si="22"/>
        <v>#NUM!</v>
      </c>
      <c r="AH299" s="1415"/>
      <c r="AI299" s="1434"/>
      <c r="AJ299" s="1414"/>
    </row>
    <row r="300" spans="26:36" ht="15">
      <c r="Z300" s="1411">
        <v>235</v>
      </c>
      <c r="AA300" s="1417" t="s">
        <v>2491</v>
      </c>
      <c r="AB300" s="1419" t="e">
        <f t="shared" si="23"/>
        <v>#NUM!</v>
      </c>
      <c r="AC300" s="1418" t="e">
        <f t="shared" si="26"/>
        <v>#NUM!</v>
      </c>
      <c r="AD300" s="1413">
        <f t="shared" si="26"/>
        <v>0</v>
      </c>
      <c r="AE300" s="1411">
        <v>30</v>
      </c>
      <c r="AF300" s="1411">
        <f t="shared" si="21"/>
        <v>0</v>
      </c>
      <c r="AG300" s="1412" t="e">
        <f t="shared" si="22"/>
        <v>#NUM!</v>
      </c>
      <c r="AH300" s="1415"/>
      <c r="AI300" s="1434"/>
      <c r="AJ300" s="1414"/>
    </row>
    <row r="301" spans="26:36" ht="15">
      <c r="Z301" s="1411">
        <v>236</v>
      </c>
      <c r="AA301" s="1417" t="s">
        <v>2491</v>
      </c>
      <c r="AB301" s="1419" t="e">
        <f t="shared" si="23"/>
        <v>#NUM!</v>
      </c>
      <c r="AC301" s="1418" t="e">
        <f t="shared" si="26"/>
        <v>#NUM!</v>
      </c>
      <c r="AD301" s="1413">
        <f t="shared" si="26"/>
        <v>0</v>
      </c>
      <c r="AE301" s="1411">
        <v>30</v>
      </c>
      <c r="AF301" s="1411">
        <f t="shared" si="21"/>
        <v>0</v>
      </c>
      <c r="AG301" s="1412" t="e">
        <f t="shared" si="22"/>
        <v>#NUM!</v>
      </c>
      <c r="AH301" s="1415"/>
      <c r="AI301" s="1434"/>
      <c r="AJ301" s="1414"/>
    </row>
    <row r="302" spans="26:36" ht="15">
      <c r="Z302" s="1411">
        <v>237</v>
      </c>
      <c r="AA302" s="1417" t="s">
        <v>2491</v>
      </c>
      <c r="AB302" s="1419" t="e">
        <f t="shared" si="23"/>
        <v>#NUM!</v>
      </c>
      <c r="AC302" s="1418" t="e">
        <f t="shared" si="26"/>
        <v>#NUM!</v>
      </c>
      <c r="AD302" s="1413">
        <f t="shared" si="26"/>
        <v>0</v>
      </c>
      <c r="AE302" s="1411">
        <v>30</v>
      </c>
      <c r="AF302" s="1411">
        <f t="shared" si="21"/>
        <v>0</v>
      </c>
      <c r="AG302" s="1412" t="e">
        <f t="shared" si="22"/>
        <v>#NUM!</v>
      </c>
      <c r="AH302" s="1415"/>
      <c r="AI302" s="1434"/>
      <c r="AJ302" s="1414"/>
    </row>
    <row r="303" spans="26:36" ht="15">
      <c r="Z303" s="1411">
        <v>238</v>
      </c>
      <c r="AA303" s="1417" t="s">
        <v>2491</v>
      </c>
      <c r="AB303" s="1419" t="e">
        <f t="shared" si="23"/>
        <v>#NUM!</v>
      </c>
      <c r="AC303" s="1418" t="e">
        <f t="shared" si="26"/>
        <v>#NUM!</v>
      </c>
      <c r="AD303" s="1413">
        <f t="shared" si="26"/>
        <v>0</v>
      </c>
      <c r="AE303" s="1411">
        <v>30</v>
      </c>
      <c r="AF303" s="1411">
        <f t="shared" si="21"/>
        <v>0</v>
      </c>
      <c r="AG303" s="1412" t="e">
        <f t="shared" si="22"/>
        <v>#NUM!</v>
      </c>
      <c r="AH303" s="1415"/>
      <c r="AI303" s="1434"/>
      <c r="AJ303" s="1414"/>
    </row>
    <row r="304" spans="26:36" ht="15">
      <c r="Z304" s="1411">
        <v>239</v>
      </c>
      <c r="AA304" s="1417" t="s">
        <v>2491</v>
      </c>
      <c r="AB304" s="1419" t="e">
        <f t="shared" si="23"/>
        <v>#NUM!</v>
      </c>
      <c r="AC304" s="1418" t="e">
        <f t="shared" si="26"/>
        <v>#NUM!</v>
      </c>
      <c r="AD304" s="1413">
        <f t="shared" si="26"/>
        <v>0</v>
      </c>
      <c r="AE304" s="1411">
        <v>30</v>
      </c>
      <c r="AF304" s="1411">
        <f t="shared" si="21"/>
        <v>0</v>
      </c>
      <c r="AG304" s="1412" t="e">
        <f t="shared" si="22"/>
        <v>#NUM!</v>
      </c>
      <c r="AH304" s="1415"/>
      <c r="AI304" s="1434"/>
      <c r="AJ304" s="1414"/>
    </row>
    <row r="305" spans="26:36" ht="15">
      <c r="Z305" s="1411">
        <v>240</v>
      </c>
      <c r="AA305" s="1417" t="s">
        <v>2491</v>
      </c>
      <c r="AB305" s="1419" t="e">
        <f t="shared" si="23"/>
        <v>#NUM!</v>
      </c>
      <c r="AC305" s="1418" t="e">
        <f t="shared" si="26"/>
        <v>#NUM!</v>
      </c>
      <c r="AD305" s="1413">
        <f t="shared" si="26"/>
        <v>0</v>
      </c>
      <c r="AE305" s="1411">
        <v>30</v>
      </c>
      <c r="AF305" s="1411">
        <f t="shared" si="21"/>
        <v>0</v>
      </c>
      <c r="AG305" s="1412" t="e">
        <f t="shared" si="22"/>
        <v>#NUM!</v>
      </c>
      <c r="AH305" s="1415"/>
      <c r="AI305" s="1434"/>
      <c r="AJ305" s="1414"/>
    </row>
    <row r="306" spans="26:36" ht="15">
      <c r="Z306" s="1411">
        <v>241</v>
      </c>
      <c r="AA306" s="1417" t="s">
        <v>2491</v>
      </c>
      <c r="AB306" s="1419" t="e">
        <f t="shared" si="23"/>
        <v>#NUM!</v>
      </c>
      <c r="AC306" s="1418" t="e">
        <f t="shared" si="26"/>
        <v>#NUM!</v>
      </c>
      <c r="AD306" s="1413">
        <f t="shared" si="26"/>
        <v>0</v>
      </c>
      <c r="AE306" s="1411">
        <v>30</v>
      </c>
      <c r="AF306" s="1411">
        <f t="shared" si="21"/>
        <v>0</v>
      </c>
      <c r="AG306" s="1412" t="e">
        <f t="shared" si="22"/>
        <v>#NUM!</v>
      </c>
      <c r="AH306" s="1415" t="e">
        <f>MAX(0,AB306*0.005)</f>
        <v>#NUM!</v>
      </c>
      <c r="AI306" s="1434">
        <v>21</v>
      </c>
      <c r="AJ306" s="1414"/>
    </row>
    <row r="307" spans="26:36" ht="15">
      <c r="Z307" s="1411">
        <v>242</v>
      </c>
      <c r="AA307" s="1417" t="s">
        <v>2491</v>
      </c>
      <c r="AB307" s="1419" t="e">
        <f t="shared" si="23"/>
        <v>#NUM!</v>
      </c>
      <c r="AC307" s="1418" t="e">
        <f t="shared" si="26"/>
        <v>#NUM!</v>
      </c>
      <c r="AD307" s="1413">
        <f t="shared" si="26"/>
        <v>0</v>
      </c>
      <c r="AE307" s="1411">
        <v>30</v>
      </c>
      <c r="AF307" s="1411">
        <f t="shared" si="21"/>
        <v>0</v>
      </c>
      <c r="AG307" s="1412" t="e">
        <f t="shared" si="22"/>
        <v>#NUM!</v>
      </c>
      <c r="AH307" s="1415"/>
      <c r="AI307" s="1434"/>
      <c r="AJ307" s="1414"/>
    </row>
    <row r="308" spans="26:36" ht="15">
      <c r="Z308" s="1411">
        <v>243</v>
      </c>
      <c r="AA308" s="1417" t="s">
        <v>2491</v>
      </c>
      <c r="AB308" s="1419" t="e">
        <f t="shared" si="23"/>
        <v>#NUM!</v>
      </c>
      <c r="AC308" s="1418" t="e">
        <f t="shared" ref="AC308:AD323" si="27">+AC307</f>
        <v>#NUM!</v>
      </c>
      <c r="AD308" s="1413">
        <f t="shared" si="27"/>
        <v>0</v>
      </c>
      <c r="AE308" s="1411">
        <v>30</v>
      </c>
      <c r="AF308" s="1411">
        <f t="shared" si="21"/>
        <v>0</v>
      </c>
      <c r="AG308" s="1412" t="e">
        <f t="shared" si="22"/>
        <v>#NUM!</v>
      </c>
      <c r="AH308" s="1415"/>
      <c r="AI308" s="1434"/>
      <c r="AJ308" s="1414"/>
    </row>
    <row r="309" spans="26:36" ht="15">
      <c r="Z309" s="1411">
        <v>244</v>
      </c>
      <c r="AA309" s="1417" t="s">
        <v>2491</v>
      </c>
      <c r="AB309" s="1419" t="e">
        <f t="shared" si="23"/>
        <v>#NUM!</v>
      </c>
      <c r="AC309" s="1418" t="e">
        <f t="shared" si="27"/>
        <v>#NUM!</v>
      </c>
      <c r="AD309" s="1413">
        <f t="shared" si="27"/>
        <v>0</v>
      </c>
      <c r="AE309" s="1411">
        <v>30</v>
      </c>
      <c r="AF309" s="1411">
        <f t="shared" si="21"/>
        <v>0</v>
      </c>
      <c r="AG309" s="1412" t="e">
        <f t="shared" si="22"/>
        <v>#NUM!</v>
      </c>
      <c r="AH309" s="1415"/>
      <c r="AI309" s="1434"/>
      <c r="AJ309" s="1414"/>
    </row>
    <row r="310" spans="26:36" ht="15">
      <c r="Z310" s="1411">
        <v>245</v>
      </c>
      <c r="AA310" s="1417" t="s">
        <v>2491</v>
      </c>
      <c r="AB310" s="1419" t="e">
        <f t="shared" si="23"/>
        <v>#NUM!</v>
      </c>
      <c r="AC310" s="1418" t="e">
        <f t="shared" si="27"/>
        <v>#NUM!</v>
      </c>
      <c r="AD310" s="1413">
        <f t="shared" si="27"/>
        <v>0</v>
      </c>
      <c r="AE310" s="1411">
        <v>30</v>
      </c>
      <c r="AF310" s="1411">
        <f t="shared" si="21"/>
        <v>0</v>
      </c>
      <c r="AG310" s="1412" t="e">
        <f t="shared" si="22"/>
        <v>#NUM!</v>
      </c>
      <c r="AH310" s="1415"/>
      <c r="AI310" s="1434"/>
      <c r="AJ310" s="1414"/>
    </row>
    <row r="311" spans="26:36" ht="15">
      <c r="Z311" s="1411">
        <v>246</v>
      </c>
      <c r="AA311" s="1417" t="s">
        <v>2491</v>
      </c>
      <c r="AB311" s="1419" t="e">
        <f t="shared" si="23"/>
        <v>#NUM!</v>
      </c>
      <c r="AC311" s="1418" t="e">
        <f t="shared" si="27"/>
        <v>#NUM!</v>
      </c>
      <c r="AD311" s="1413">
        <f t="shared" si="27"/>
        <v>0</v>
      </c>
      <c r="AE311" s="1411">
        <v>30</v>
      </c>
      <c r="AF311" s="1411">
        <f t="shared" si="21"/>
        <v>0</v>
      </c>
      <c r="AG311" s="1412" t="e">
        <f t="shared" si="22"/>
        <v>#NUM!</v>
      </c>
      <c r="AH311" s="1415"/>
      <c r="AI311" s="1434"/>
      <c r="AJ311" s="1414"/>
    </row>
    <row r="312" spans="26:36" ht="15">
      <c r="Z312" s="1411">
        <v>247</v>
      </c>
      <c r="AA312" s="1417" t="s">
        <v>2491</v>
      </c>
      <c r="AB312" s="1419" t="e">
        <f t="shared" si="23"/>
        <v>#NUM!</v>
      </c>
      <c r="AC312" s="1418" t="e">
        <f t="shared" si="27"/>
        <v>#NUM!</v>
      </c>
      <c r="AD312" s="1413">
        <f t="shared" si="27"/>
        <v>0</v>
      </c>
      <c r="AE312" s="1411">
        <v>30</v>
      </c>
      <c r="AF312" s="1411">
        <f t="shared" si="21"/>
        <v>0</v>
      </c>
      <c r="AG312" s="1412" t="e">
        <f t="shared" si="22"/>
        <v>#NUM!</v>
      </c>
      <c r="AH312" s="1415"/>
      <c r="AI312" s="1434"/>
      <c r="AJ312" s="1414"/>
    </row>
    <row r="313" spans="26:36" ht="15">
      <c r="Z313" s="1411">
        <v>248</v>
      </c>
      <c r="AA313" s="1417" t="s">
        <v>2491</v>
      </c>
      <c r="AB313" s="1419" t="e">
        <f t="shared" si="23"/>
        <v>#NUM!</v>
      </c>
      <c r="AC313" s="1418" t="e">
        <f t="shared" si="27"/>
        <v>#NUM!</v>
      </c>
      <c r="AD313" s="1413">
        <f t="shared" si="27"/>
        <v>0</v>
      </c>
      <c r="AE313" s="1411">
        <v>30</v>
      </c>
      <c r="AF313" s="1411">
        <f t="shared" si="21"/>
        <v>0</v>
      </c>
      <c r="AG313" s="1412" t="e">
        <f t="shared" si="22"/>
        <v>#NUM!</v>
      </c>
      <c r="AH313" s="1415"/>
      <c r="AI313" s="1434"/>
      <c r="AJ313" s="1414"/>
    </row>
    <row r="314" spans="26:36" ht="15">
      <c r="Z314" s="1411">
        <v>249</v>
      </c>
      <c r="AA314" s="1417" t="s">
        <v>2491</v>
      </c>
      <c r="AB314" s="1419" t="e">
        <f t="shared" si="23"/>
        <v>#NUM!</v>
      </c>
      <c r="AC314" s="1418" t="e">
        <f t="shared" si="27"/>
        <v>#NUM!</v>
      </c>
      <c r="AD314" s="1413">
        <f t="shared" si="27"/>
        <v>0</v>
      </c>
      <c r="AE314" s="1411">
        <v>30</v>
      </c>
      <c r="AF314" s="1411">
        <f t="shared" si="21"/>
        <v>0</v>
      </c>
      <c r="AG314" s="1412" t="e">
        <f t="shared" si="22"/>
        <v>#NUM!</v>
      </c>
      <c r="AH314" s="1415"/>
      <c r="AI314" s="1434"/>
      <c r="AJ314" s="1414"/>
    </row>
    <row r="315" spans="26:36" ht="15">
      <c r="Z315" s="1411">
        <v>250</v>
      </c>
      <c r="AA315" s="1417" t="s">
        <v>2491</v>
      </c>
      <c r="AB315" s="1419" t="e">
        <f t="shared" si="23"/>
        <v>#NUM!</v>
      </c>
      <c r="AC315" s="1418" t="e">
        <f t="shared" si="27"/>
        <v>#NUM!</v>
      </c>
      <c r="AD315" s="1413">
        <f t="shared" si="27"/>
        <v>0</v>
      </c>
      <c r="AE315" s="1411">
        <v>30</v>
      </c>
      <c r="AF315" s="1411">
        <f t="shared" si="21"/>
        <v>0</v>
      </c>
      <c r="AG315" s="1412" t="e">
        <f t="shared" si="22"/>
        <v>#NUM!</v>
      </c>
      <c r="AH315" s="1415"/>
      <c r="AI315" s="1434"/>
      <c r="AJ315" s="1414"/>
    </row>
    <row r="316" spans="26:36" ht="15">
      <c r="Z316" s="1411">
        <v>251</v>
      </c>
      <c r="AA316" s="1417" t="s">
        <v>2491</v>
      </c>
      <c r="AB316" s="1419" t="e">
        <f t="shared" si="23"/>
        <v>#NUM!</v>
      </c>
      <c r="AC316" s="1418" t="e">
        <f t="shared" si="27"/>
        <v>#NUM!</v>
      </c>
      <c r="AD316" s="1413">
        <f t="shared" si="27"/>
        <v>0</v>
      </c>
      <c r="AE316" s="1411">
        <v>30</v>
      </c>
      <c r="AF316" s="1411">
        <f t="shared" si="21"/>
        <v>0</v>
      </c>
      <c r="AG316" s="1412" t="e">
        <f t="shared" si="22"/>
        <v>#NUM!</v>
      </c>
      <c r="AH316" s="1415"/>
      <c r="AI316" s="1434"/>
      <c r="AJ316" s="1414"/>
    </row>
    <row r="317" spans="26:36" ht="15">
      <c r="Z317" s="1411">
        <v>252</v>
      </c>
      <c r="AA317" s="1417" t="s">
        <v>2491</v>
      </c>
      <c r="AB317" s="1419" t="e">
        <f t="shared" si="23"/>
        <v>#NUM!</v>
      </c>
      <c r="AC317" s="1418" t="e">
        <f t="shared" si="27"/>
        <v>#NUM!</v>
      </c>
      <c r="AD317" s="1413">
        <f t="shared" si="27"/>
        <v>0</v>
      </c>
      <c r="AE317" s="1411">
        <v>30</v>
      </c>
      <c r="AF317" s="1411">
        <f t="shared" si="21"/>
        <v>0</v>
      </c>
      <c r="AG317" s="1412" t="e">
        <f t="shared" si="22"/>
        <v>#NUM!</v>
      </c>
      <c r="AH317" s="1415"/>
      <c r="AI317" s="1434"/>
      <c r="AJ317" s="1414"/>
    </row>
    <row r="318" spans="26:36" ht="15">
      <c r="Z318" s="1411">
        <v>253</v>
      </c>
      <c r="AA318" s="1417" t="s">
        <v>2491</v>
      </c>
      <c r="AB318" s="1419" t="e">
        <f t="shared" si="23"/>
        <v>#NUM!</v>
      </c>
      <c r="AC318" s="1418" t="e">
        <f t="shared" si="27"/>
        <v>#NUM!</v>
      </c>
      <c r="AD318" s="1413">
        <f t="shared" si="27"/>
        <v>0</v>
      </c>
      <c r="AE318" s="1411">
        <v>30</v>
      </c>
      <c r="AF318" s="1411">
        <f t="shared" si="21"/>
        <v>0</v>
      </c>
      <c r="AG318" s="1412" t="e">
        <f t="shared" si="22"/>
        <v>#NUM!</v>
      </c>
      <c r="AH318" s="1415" t="e">
        <f>MAX(0,AB318*0.005)</f>
        <v>#NUM!</v>
      </c>
      <c r="AI318" s="1434">
        <v>22</v>
      </c>
      <c r="AJ318" s="1414"/>
    </row>
    <row r="319" spans="26:36" ht="15">
      <c r="Z319" s="1411">
        <v>254</v>
      </c>
      <c r="AA319" s="1417" t="s">
        <v>2491</v>
      </c>
      <c r="AB319" s="1419" t="e">
        <f t="shared" si="23"/>
        <v>#NUM!</v>
      </c>
      <c r="AC319" s="1418" t="e">
        <f t="shared" si="27"/>
        <v>#NUM!</v>
      </c>
      <c r="AD319" s="1413">
        <f t="shared" si="27"/>
        <v>0</v>
      </c>
      <c r="AE319" s="1411">
        <v>30</v>
      </c>
      <c r="AF319" s="1411">
        <f t="shared" si="21"/>
        <v>0</v>
      </c>
      <c r="AG319" s="1412" t="e">
        <f t="shared" si="22"/>
        <v>#NUM!</v>
      </c>
      <c r="AH319" s="1415"/>
      <c r="AI319" s="1434"/>
      <c r="AJ319" s="1414"/>
    </row>
    <row r="320" spans="26:36" ht="15">
      <c r="Z320" s="1411">
        <v>255</v>
      </c>
      <c r="AA320" s="1417" t="s">
        <v>2491</v>
      </c>
      <c r="AB320" s="1419" t="e">
        <f t="shared" si="23"/>
        <v>#NUM!</v>
      </c>
      <c r="AC320" s="1418" t="e">
        <f t="shared" si="27"/>
        <v>#NUM!</v>
      </c>
      <c r="AD320" s="1413">
        <f t="shared" si="27"/>
        <v>0</v>
      </c>
      <c r="AE320" s="1411">
        <v>30</v>
      </c>
      <c r="AF320" s="1411">
        <f t="shared" si="21"/>
        <v>0</v>
      </c>
      <c r="AG320" s="1412" t="e">
        <f t="shared" si="22"/>
        <v>#NUM!</v>
      </c>
      <c r="AH320" s="1415"/>
      <c r="AI320" s="1434"/>
      <c r="AJ320" s="1414"/>
    </row>
    <row r="321" spans="26:36" ht="15">
      <c r="Z321" s="1411">
        <v>256</v>
      </c>
      <c r="AA321" s="1417" t="s">
        <v>2491</v>
      </c>
      <c r="AB321" s="1419" t="e">
        <f t="shared" si="23"/>
        <v>#NUM!</v>
      </c>
      <c r="AC321" s="1418" t="e">
        <f t="shared" si="27"/>
        <v>#NUM!</v>
      </c>
      <c r="AD321" s="1413">
        <f t="shared" si="27"/>
        <v>0</v>
      </c>
      <c r="AE321" s="1411">
        <v>30</v>
      </c>
      <c r="AF321" s="1411">
        <f t="shared" si="21"/>
        <v>0</v>
      </c>
      <c r="AG321" s="1412" t="e">
        <f t="shared" si="22"/>
        <v>#NUM!</v>
      </c>
      <c r="AH321" s="1415"/>
      <c r="AI321" s="1434"/>
      <c r="AJ321" s="1414"/>
    </row>
    <row r="322" spans="26:36" ht="15">
      <c r="Z322" s="1411">
        <v>257</v>
      </c>
      <c r="AA322" s="1417" t="s">
        <v>2491</v>
      </c>
      <c r="AB322" s="1419" t="e">
        <f t="shared" si="23"/>
        <v>#NUM!</v>
      </c>
      <c r="AC322" s="1418" t="e">
        <f t="shared" si="27"/>
        <v>#NUM!</v>
      </c>
      <c r="AD322" s="1413">
        <f t="shared" si="27"/>
        <v>0</v>
      </c>
      <c r="AE322" s="1411">
        <v>30</v>
      </c>
      <c r="AF322" s="1411">
        <f t="shared" ref="AF322:AF385" si="28">AD322/360</f>
        <v>0</v>
      </c>
      <c r="AG322" s="1412" t="e">
        <f t="shared" ref="AG322:AG385" si="29">+AB322*AE322*AF322</f>
        <v>#NUM!</v>
      </c>
      <c r="AH322" s="1415"/>
      <c r="AI322" s="1434"/>
      <c r="AJ322" s="1414"/>
    </row>
    <row r="323" spans="26:36" ht="15">
      <c r="Z323" s="1411">
        <v>258</v>
      </c>
      <c r="AA323" s="1417" t="s">
        <v>2491</v>
      </c>
      <c r="AB323" s="1419" t="e">
        <f t="shared" ref="AB323:AB386" si="30">+AB322-AC322+AG322</f>
        <v>#NUM!</v>
      </c>
      <c r="AC323" s="1418" t="e">
        <f t="shared" si="27"/>
        <v>#NUM!</v>
      </c>
      <c r="AD323" s="1413">
        <f t="shared" si="27"/>
        <v>0</v>
      </c>
      <c r="AE323" s="1411">
        <v>30</v>
      </c>
      <c r="AF323" s="1411">
        <f t="shared" si="28"/>
        <v>0</v>
      </c>
      <c r="AG323" s="1412" t="e">
        <f t="shared" si="29"/>
        <v>#NUM!</v>
      </c>
      <c r="AH323" s="1415"/>
      <c r="AI323" s="1434"/>
      <c r="AJ323" s="1414"/>
    </row>
    <row r="324" spans="26:36" ht="15">
      <c r="Z324" s="1411">
        <v>259</v>
      </c>
      <c r="AA324" s="1417" t="s">
        <v>2491</v>
      </c>
      <c r="AB324" s="1419" t="e">
        <f t="shared" si="30"/>
        <v>#NUM!</v>
      </c>
      <c r="AC324" s="1418" t="e">
        <f t="shared" ref="AC324:AD339" si="31">+AC323</f>
        <v>#NUM!</v>
      </c>
      <c r="AD324" s="1413">
        <f t="shared" si="31"/>
        <v>0</v>
      </c>
      <c r="AE324" s="1411">
        <v>30</v>
      </c>
      <c r="AF324" s="1411">
        <f t="shared" si="28"/>
        <v>0</v>
      </c>
      <c r="AG324" s="1412" t="e">
        <f t="shared" si="29"/>
        <v>#NUM!</v>
      </c>
      <c r="AH324" s="1415"/>
      <c r="AI324" s="1434"/>
      <c r="AJ324" s="1414"/>
    </row>
    <row r="325" spans="26:36" ht="15">
      <c r="Z325" s="1411">
        <v>260</v>
      </c>
      <c r="AA325" s="1417" t="s">
        <v>2491</v>
      </c>
      <c r="AB325" s="1419" t="e">
        <f t="shared" si="30"/>
        <v>#NUM!</v>
      </c>
      <c r="AC325" s="1418" t="e">
        <f t="shared" si="31"/>
        <v>#NUM!</v>
      </c>
      <c r="AD325" s="1413">
        <f t="shared" si="31"/>
        <v>0</v>
      </c>
      <c r="AE325" s="1411">
        <v>30</v>
      </c>
      <c r="AF325" s="1411">
        <f t="shared" si="28"/>
        <v>0</v>
      </c>
      <c r="AG325" s="1412" t="e">
        <f t="shared" si="29"/>
        <v>#NUM!</v>
      </c>
      <c r="AH325" s="1415"/>
      <c r="AI325" s="1434"/>
      <c r="AJ325" s="1414"/>
    </row>
    <row r="326" spans="26:36" ht="15">
      <c r="Z326" s="1411">
        <v>261</v>
      </c>
      <c r="AA326" s="1417" t="s">
        <v>2491</v>
      </c>
      <c r="AB326" s="1419" t="e">
        <f t="shared" si="30"/>
        <v>#NUM!</v>
      </c>
      <c r="AC326" s="1418" t="e">
        <f t="shared" si="31"/>
        <v>#NUM!</v>
      </c>
      <c r="AD326" s="1413">
        <f t="shared" si="31"/>
        <v>0</v>
      </c>
      <c r="AE326" s="1411">
        <v>30</v>
      </c>
      <c r="AF326" s="1411">
        <f t="shared" si="28"/>
        <v>0</v>
      </c>
      <c r="AG326" s="1412" t="e">
        <f t="shared" si="29"/>
        <v>#NUM!</v>
      </c>
      <c r="AH326" s="1415"/>
      <c r="AI326" s="1434"/>
      <c r="AJ326" s="1414"/>
    </row>
    <row r="327" spans="26:36" ht="15">
      <c r="Z327" s="1411">
        <v>262</v>
      </c>
      <c r="AA327" s="1417" t="s">
        <v>2491</v>
      </c>
      <c r="AB327" s="1419" t="e">
        <f t="shared" si="30"/>
        <v>#NUM!</v>
      </c>
      <c r="AC327" s="1418" t="e">
        <f t="shared" si="31"/>
        <v>#NUM!</v>
      </c>
      <c r="AD327" s="1413">
        <f t="shared" si="31"/>
        <v>0</v>
      </c>
      <c r="AE327" s="1411">
        <v>30</v>
      </c>
      <c r="AF327" s="1411">
        <f t="shared" si="28"/>
        <v>0</v>
      </c>
      <c r="AG327" s="1412" t="e">
        <f t="shared" si="29"/>
        <v>#NUM!</v>
      </c>
      <c r="AH327" s="1415"/>
      <c r="AI327" s="1434"/>
      <c r="AJ327" s="1414"/>
    </row>
    <row r="328" spans="26:36" ht="15">
      <c r="Z328" s="1411">
        <v>263</v>
      </c>
      <c r="AA328" s="1417" t="s">
        <v>2491</v>
      </c>
      <c r="AB328" s="1419" t="e">
        <f t="shared" si="30"/>
        <v>#NUM!</v>
      </c>
      <c r="AC328" s="1418" t="e">
        <f t="shared" si="31"/>
        <v>#NUM!</v>
      </c>
      <c r="AD328" s="1413">
        <f t="shared" si="31"/>
        <v>0</v>
      </c>
      <c r="AE328" s="1411">
        <v>30</v>
      </c>
      <c r="AF328" s="1411">
        <f t="shared" si="28"/>
        <v>0</v>
      </c>
      <c r="AG328" s="1412" t="e">
        <f t="shared" si="29"/>
        <v>#NUM!</v>
      </c>
      <c r="AH328" s="1415"/>
      <c r="AI328" s="1434"/>
      <c r="AJ328" s="1414"/>
    </row>
    <row r="329" spans="26:36" ht="15">
      <c r="Z329" s="1411">
        <v>264</v>
      </c>
      <c r="AA329" s="1417" t="s">
        <v>2491</v>
      </c>
      <c r="AB329" s="1419" t="e">
        <f t="shared" si="30"/>
        <v>#NUM!</v>
      </c>
      <c r="AC329" s="1418" t="e">
        <f t="shared" si="31"/>
        <v>#NUM!</v>
      </c>
      <c r="AD329" s="1413">
        <f t="shared" si="31"/>
        <v>0</v>
      </c>
      <c r="AE329" s="1411">
        <v>30</v>
      </c>
      <c r="AF329" s="1411">
        <f t="shared" si="28"/>
        <v>0</v>
      </c>
      <c r="AG329" s="1412" t="e">
        <f t="shared" si="29"/>
        <v>#NUM!</v>
      </c>
      <c r="AH329" s="1415"/>
      <c r="AI329" s="1434"/>
      <c r="AJ329" s="1414"/>
    </row>
    <row r="330" spans="26:36" ht="15">
      <c r="Z330" s="1411">
        <v>265</v>
      </c>
      <c r="AA330" s="1417" t="s">
        <v>2491</v>
      </c>
      <c r="AB330" s="1419" t="e">
        <f t="shared" si="30"/>
        <v>#NUM!</v>
      </c>
      <c r="AC330" s="1418" t="e">
        <f t="shared" si="31"/>
        <v>#NUM!</v>
      </c>
      <c r="AD330" s="1413">
        <f t="shared" si="31"/>
        <v>0</v>
      </c>
      <c r="AE330" s="1411">
        <v>30</v>
      </c>
      <c r="AF330" s="1411">
        <f t="shared" si="28"/>
        <v>0</v>
      </c>
      <c r="AG330" s="1412" t="e">
        <f t="shared" si="29"/>
        <v>#NUM!</v>
      </c>
      <c r="AH330" s="1415" t="e">
        <f>MAX(0,AB330*0.005)</f>
        <v>#NUM!</v>
      </c>
      <c r="AI330" s="1434">
        <v>23</v>
      </c>
      <c r="AJ330" s="1414"/>
    </row>
    <row r="331" spans="26:36" ht="15">
      <c r="Z331" s="1411">
        <v>266</v>
      </c>
      <c r="AA331" s="1417" t="s">
        <v>2491</v>
      </c>
      <c r="AB331" s="1419" t="e">
        <f t="shared" si="30"/>
        <v>#NUM!</v>
      </c>
      <c r="AC331" s="1418" t="e">
        <f t="shared" si="31"/>
        <v>#NUM!</v>
      </c>
      <c r="AD331" s="1413">
        <f t="shared" si="31"/>
        <v>0</v>
      </c>
      <c r="AE331" s="1411">
        <v>30</v>
      </c>
      <c r="AF331" s="1411">
        <f t="shared" si="28"/>
        <v>0</v>
      </c>
      <c r="AG331" s="1412" t="e">
        <f t="shared" si="29"/>
        <v>#NUM!</v>
      </c>
      <c r="AH331" s="1415"/>
      <c r="AI331" s="1434"/>
      <c r="AJ331" s="1414"/>
    </row>
    <row r="332" spans="26:36" ht="15">
      <c r="Z332" s="1411">
        <v>267</v>
      </c>
      <c r="AA332" s="1417" t="s">
        <v>2491</v>
      </c>
      <c r="AB332" s="1419" t="e">
        <f t="shared" si="30"/>
        <v>#NUM!</v>
      </c>
      <c r="AC332" s="1418" t="e">
        <f t="shared" si="31"/>
        <v>#NUM!</v>
      </c>
      <c r="AD332" s="1413">
        <f t="shared" si="31"/>
        <v>0</v>
      </c>
      <c r="AE332" s="1411">
        <v>30</v>
      </c>
      <c r="AF332" s="1411">
        <f t="shared" si="28"/>
        <v>0</v>
      </c>
      <c r="AG332" s="1412" t="e">
        <f t="shared" si="29"/>
        <v>#NUM!</v>
      </c>
      <c r="AH332" s="1415"/>
      <c r="AI332" s="1434"/>
      <c r="AJ332" s="1414"/>
    </row>
    <row r="333" spans="26:36" ht="15">
      <c r="Z333" s="1411">
        <v>268</v>
      </c>
      <c r="AA333" s="1417" t="s">
        <v>2491</v>
      </c>
      <c r="AB333" s="1419" t="e">
        <f t="shared" si="30"/>
        <v>#NUM!</v>
      </c>
      <c r="AC333" s="1418" t="e">
        <f t="shared" si="31"/>
        <v>#NUM!</v>
      </c>
      <c r="AD333" s="1413">
        <f t="shared" si="31"/>
        <v>0</v>
      </c>
      <c r="AE333" s="1411">
        <v>30</v>
      </c>
      <c r="AF333" s="1411">
        <f t="shared" si="28"/>
        <v>0</v>
      </c>
      <c r="AG333" s="1412" t="e">
        <f t="shared" si="29"/>
        <v>#NUM!</v>
      </c>
      <c r="AH333" s="1415"/>
      <c r="AI333" s="1434"/>
      <c r="AJ333" s="1414"/>
    </row>
    <row r="334" spans="26:36" ht="15">
      <c r="Z334" s="1411">
        <v>269</v>
      </c>
      <c r="AA334" s="1417" t="s">
        <v>2491</v>
      </c>
      <c r="AB334" s="1419" t="e">
        <f t="shared" si="30"/>
        <v>#NUM!</v>
      </c>
      <c r="AC334" s="1418" t="e">
        <f t="shared" si="31"/>
        <v>#NUM!</v>
      </c>
      <c r="AD334" s="1413">
        <f t="shared" si="31"/>
        <v>0</v>
      </c>
      <c r="AE334" s="1411">
        <v>30</v>
      </c>
      <c r="AF334" s="1411">
        <f t="shared" si="28"/>
        <v>0</v>
      </c>
      <c r="AG334" s="1412" t="e">
        <f t="shared" si="29"/>
        <v>#NUM!</v>
      </c>
      <c r="AH334" s="1415"/>
      <c r="AI334" s="1434"/>
      <c r="AJ334" s="1414"/>
    </row>
    <row r="335" spans="26:36" ht="15">
      <c r="Z335" s="1411">
        <v>270</v>
      </c>
      <c r="AA335" s="1417" t="s">
        <v>2491</v>
      </c>
      <c r="AB335" s="1419" t="e">
        <f t="shared" si="30"/>
        <v>#NUM!</v>
      </c>
      <c r="AC335" s="1418" t="e">
        <f t="shared" si="31"/>
        <v>#NUM!</v>
      </c>
      <c r="AD335" s="1413">
        <f t="shared" si="31"/>
        <v>0</v>
      </c>
      <c r="AE335" s="1411">
        <v>30</v>
      </c>
      <c r="AF335" s="1411">
        <f t="shared" si="28"/>
        <v>0</v>
      </c>
      <c r="AG335" s="1412" t="e">
        <f t="shared" si="29"/>
        <v>#NUM!</v>
      </c>
      <c r="AH335" s="1415"/>
      <c r="AI335" s="1434"/>
      <c r="AJ335" s="1414"/>
    </row>
    <row r="336" spans="26:36" ht="15">
      <c r="Z336" s="1411">
        <v>271</v>
      </c>
      <c r="AA336" s="1417" t="s">
        <v>2491</v>
      </c>
      <c r="AB336" s="1419" t="e">
        <f t="shared" si="30"/>
        <v>#NUM!</v>
      </c>
      <c r="AC336" s="1418" t="e">
        <f t="shared" si="31"/>
        <v>#NUM!</v>
      </c>
      <c r="AD336" s="1413">
        <f t="shared" si="31"/>
        <v>0</v>
      </c>
      <c r="AE336" s="1411">
        <v>30</v>
      </c>
      <c r="AF336" s="1411">
        <f t="shared" si="28"/>
        <v>0</v>
      </c>
      <c r="AG336" s="1412" t="e">
        <f t="shared" si="29"/>
        <v>#NUM!</v>
      </c>
      <c r="AH336" s="1415"/>
      <c r="AI336" s="1434"/>
      <c r="AJ336" s="1414"/>
    </row>
    <row r="337" spans="26:36" ht="15">
      <c r="Z337" s="1411">
        <v>272</v>
      </c>
      <c r="AA337" s="1417" t="s">
        <v>2491</v>
      </c>
      <c r="AB337" s="1419" t="e">
        <f t="shared" si="30"/>
        <v>#NUM!</v>
      </c>
      <c r="AC337" s="1418" t="e">
        <f t="shared" si="31"/>
        <v>#NUM!</v>
      </c>
      <c r="AD337" s="1413">
        <f t="shared" si="31"/>
        <v>0</v>
      </c>
      <c r="AE337" s="1411">
        <v>30</v>
      </c>
      <c r="AF337" s="1411">
        <f t="shared" si="28"/>
        <v>0</v>
      </c>
      <c r="AG337" s="1412" t="e">
        <f t="shared" si="29"/>
        <v>#NUM!</v>
      </c>
      <c r="AH337" s="1415"/>
      <c r="AI337" s="1434"/>
      <c r="AJ337" s="1414"/>
    </row>
    <row r="338" spans="26:36" ht="15">
      <c r="Z338" s="1411">
        <v>273</v>
      </c>
      <c r="AA338" s="1417" t="s">
        <v>2491</v>
      </c>
      <c r="AB338" s="1419" t="e">
        <f t="shared" si="30"/>
        <v>#NUM!</v>
      </c>
      <c r="AC338" s="1418" t="e">
        <f t="shared" si="31"/>
        <v>#NUM!</v>
      </c>
      <c r="AD338" s="1413">
        <f t="shared" si="31"/>
        <v>0</v>
      </c>
      <c r="AE338" s="1411">
        <v>30</v>
      </c>
      <c r="AF338" s="1411">
        <f t="shared" si="28"/>
        <v>0</v>
      </c>
      <c r="AG338" s="1412" t="e">
        <f t="shared" si="29"/>
        <v>#NUM!</v>
      </c>
      <c r="AH338" s="1415"/>
      <c r="AI338" s="1434"/>
      <c r="AJ338" s="1414"/>
    </row>
    <row r="339" spans="26:36" ht="15">
      <c r="Z339" s="1411">
        <v>274</v>
      </c>
      <c r="AA339" s="1417" t="s">
        <v>2491</v>
      </c>
      <c r="AB339" s="1419" t="e">
        <f t="shared" si="30"/>
        <v>#NUM!</v>
      </c>
      <c r="AC339" s="1418" t="e">
        <f t="shared" si="31"/>
        <v>#NUM!</v>
      </c>
      <c r="AD339" s="1413">
        <f t="shared" si="31"/>
        <v>0</v>
      </c>
      <c r="AE339" s="1411">
        <v>30</v>
      </c>
      <c r="AF339" s="1411">
        <f t="shared" si="28"/>
        <v>0</v>
      </c>
      <c r="AG339" s="1412" t="e">
        <f t="shared" si="29"/>
        <v>#NUM!</v>
      </c>
      <c r="AH339" s="1415"/>
      <c r="AI339" s="1434"/>
      <c r="AJ339" s="1414"/>
    </row>
    <row r="340" spans="26:36" ht="15">
      <c r="Z340" s="1411">
        <v>275</v>
      </c>
      <c r="AA340" s="1417" t="s">
        <v>2491</v>
      </c>
      <c r="AB340" s="1419" t="e">
        <f t="shared" si="30"/>
        <v>#NUM!</v>
      </c>
      <c r="AC340" s="1418" t="e">
        <f t="shared" ref="AC340:AD355" si="32">+AC339</f>
        <v>#NUM!</v>
      </c>
      <c r="AD340" s="1413">
        <f t="shared" si="32"/>
        <v>0</v>
      </c>
      <c r="AE340" s="1411">
        <v>30</v>
      </c>
      <c r="AF340" s="1411">
        <f t="shared" si="28"/>
        <v>0</v>
      </c>
      <c r="AG340" s="1412" t="e">
        <f t="shared" si="29"/>
        <v>#NUM!</v>
      </c>
      <c r="AH340" s="1415"/>
      <c r="AI340" s="1434"/>
      <c r="AJ340" s="1414"/>
    </row>
    <row r="341" spans="26:36" ht="15">
      <c r="Z341" s="1411">
        <v>276</v>
      </c>
      <c r="AA341" s="1417" t="s">
        <v>2491</v>
      </c>
      <c r="AB341" s="1419" t="e">
        <f t="shared" si="30"/>
        <v>#NUM!</v>
      </c>
      <c r="AC341" s="1418" t="e">
        <f t="shared" si="32"/>
        <v>#NUM!</v>
      </c>
      <c r="AD341" s="1413">
        <f t="shared" si="32"/>
        <v>0</v>
      </c>
      <c r="AE341" s="1411">
        <v>30</v>
      </c>
      <c r="AF341" s="1411">
        <f t="shared" si="28"/>
        <v>0</v>
      </c>
      <c r="AG341" s="1412" t="e">
        <f t="shared" si="29"/>
        <v>#NUM!</v>
      </c>
      <c r="AH341" s="1415"/>
      <c r="AI341" s="1434"/>
      <c r="AJ341" s="1414"/>
    </row>
    <row r="342" spans="26:36" ht="15">
      <c r="Z342" s="1411">
        <v>277</v>
      </c>
      <c r="AA342" s="1417" t="s">
        <v>2491</v>
      </c>
      <c r="AB342" s="1419" t="e">
        <f t="shared" si="30"/>
        <v>#NUM!</v>
      </c>
      <c r="AC342" s="1418" t="e">
        <f t="shared" si="32"/>
        <v>#NUM!</v>
      </c>
      <c r="AD342" s="1413">
        <f t="shared" si="32"/>
        <v>0</v>
      </c>
      <c r="AE342" s="1411">
        <v>30</v>
      </c>
      <c r="AF342" s="1411">
        <f t="shared" si="28"/>
        <v>0</v>
      </c>
      <c r="AG342" s="1412" t="e">
        <f t="shared" si="29"/>
        <v>#NUM!</v>
      </c>
      <c r="AH342" s="1415" t="e">
        <f>MAX(0,AB342*0.005)</f>
        <v>#NUM!</v>
      </c>
      <c r="AI342" s="1434">
        <v>24</v>
      </c>
      <c r="AJ342" s="1414"/>
    </row>
    <row r="343" spans="26:36" ht="15">
      <c r="Z343" s="1411">
        <v>278</v>
      </c>
      <c r="AA343" s="1417" t="s">
        <v>2491</v>
      </c>
      <c r="AB343" s="1419" t="e">
        <f t="shared" si="30"/>
        <v>#NUM!</v>
      </c>
      <c r="AC343" s="1418" t="e">
        <f t="shared" si="32"/>
        <v>#NUM!</v>
      </c>
      <c r="AD343" s="1413">
        <f t="shared" si="32"/>
        <v>0</v>
      </c>
      <c r="AE343" s="1411">
        <v>30</v>
      </c>
      <c r="AF343" s="1411">
        <f t="shared" si="28"/>
        <v>0</v>
      </c>
      <c r="AG343" s="1412" t="e">
        <f t="shared" si="29"/>
        <v>#NUM!</v>
      </c>
      <c r="AH343" s="1415"/>
      <c r="AI343" s="1434"/>
      <c r="AJ343" s="1414"/>
    </row>
    <row r="344" spans="26:36" ht="15">
      <c r="Z344" s="1411">
        <v>279</v>
      </c>
      <c r="AA344" s="1417" t="s">
        <v>2491</v>
      </c>
      <c r="AB344" s="1419" t="e">
        <f t="shared" si="30"/>
        <v>#NUM!</v>
      </c>
      <c r="AC344" s="1418" t="e">
        <f t="shared" si="32"/>
        <v>#NUM!</v>
      </c>
      <c r="AD344" s="1413">
        <f t="shared" si="32"/>
        <v>0</v>
      </c>
      <c r="AE344" s="1411">
        <v>30</v>
      </c>
      <c r="AF344" s="1411">
        <f t="shared" si="28"/>
        <v>0</v>
      </c>
      <c r="AG344" s="1412" t="e">
        <f t="shared" si="29"/>
        <v>#NUM!</v>
      </c>
      <c r="AH344" s="1415"/>
      <c r="AI344" s="1434"/>
      <c r="AJ344" s="1414"/>
    </row>
    <row r="345" spans="26:36" ht="15">
      <c r="Z345" s="1411">
        <v>280</v>
      </c>
      <c r="AA345" s="1417" t="s">
        <v>2491</v>
      </c>
      <c r="AB345" s="1419" t="e">
        <f t="shared" si="30"/>
        <v>#NUM!</v>
      </c>
      <c r="AC345" s="1418" t="e">
        <f t="shared" si="32"/>
        <v>#NUM!</v>
      </c>
      <c r="AD345" s="1413">
        <f t="shared" si="32"/>
        <v>0</v>
      </c>
      <c r="AE345" s="1411">
        <v>30</v>
      </c>
      <c r="AF345" s="1411">
        <f t="shared" si="28"/>
        <v>0</v>
      </c>
      <c r="AG345" s="1412" t="e">
        <f t="shared" si="29"/>
        <v>#NUM!</v>
      </c>
      <c r="AH345" s="1415"/>
      <c r="AI345" s="1434"/>
      <c r="AJ345" s="1414"/>
    </row>
    <row r="346" spans="26:36" ht="15">
      <c r="Z346" s="1411">
        <v>281</v>
      </c>
      <c r="AA346" s="1417" t="s">
        <v>2491</v>
      </c>
      <c r="AB346" s="1419" t="e">
        <f t="shared" si="30"/>
        <v>#NUM!</v>
      </c>
      <c r="AC346" s="1418" t="e">
        <f t="shared" si="32"/>
        <v>#NUM!</v>
      </c>
      <c r="AD346" s="1413">
        <f t="shared" si="32"/>
        <v>0</v>
      </c>
      <c r="AE346" s="1411">
        <v>30</v>
      </c>
      <c r="AF346" s="1411">
        <f t="shared" si="28"/>
        <v>0</v>
      </c>
      <c r="AG346" s="1412" t="e">
        <f t="shared" si="29"/>
        <v>#NUM!</v>
      </c>
      <c r="AH346" s="1415"/>
      <c r="AI346" s="1434"/>
      <c r="AJ346" s="1414"/>
    </row>
    <row r="347" spans="26:36" ht="15">
      <c r="Z347" s="1411">
        <v>282</v>
      </c>
      <c r="AA347" s="1417" t="s">
        <v>2491</v>
      </c>
      <c r="AB347" s="1419" t="e">
        <f t="shared" si="30"/>
        <v>#NUM!</v>
      </c>
      <c r="AC347" s="1418" t="e">
        <f t="shared" si="32"/>
        <v>#NUM!</v>
      </c>
      <c r="AD347" s="1413">
        <f t="shared" si="32"/>
        <v>0</v>
      </c>
      <c r="AE347" s="1411">
        <v>30</v>
      </c>
      <c r="AF347" s="1411">
        <f t="shared" si="28"/>
        <v>0</v>
      </c>
      <c r="AG347" s="1412" t="e">
        <f t="shared" si="29"/>
        <v>#NUM!</v>
      </c>
      <c r="AH347" s="1415"/>
      <c r="AI347" s="1434"/>
      <c r="AJ347" s="1414"/>
    </row>
    <row r="348" spans="26:36" ht="15">
      <c r="Z348" s="1411">
        <v>283</v>
      </c>
      <c r="AA348" s="1417" t="s">
        <v>2491</v>
      </c>
      <c r="AB348" s="1419" t="e">
        <f t="shared" si="30"/>
        <v>#NUM!</v>
      </c>
      <c r="AC348" s="1418" t="e">
        <f t="shared" si="32"/>
        <v>#NUM!</v>
      </c>
      <c r="AD348" s="1413">
        <f t="shared" si="32"/>
        <v>0</v>
      </c>
      <c r="AE348" s="1411">
        <v>30</v>
      </c>
      <c r="AF348" s="1411">
        <f t="shared" si="28"/>
        <v>0</v>
      </c>
      <c r="AG348" s="1412" t="e">
        <f t="shared" si="29"/>
        <v>#NUM!</v>
      </c>
      <c r="AH348" s="1415"/>
      <c r="AI348" s="1434"/>
      <c r="AJ348" s="1414"/>
    </row>
    <row r="349" spans="26:36" ht="15">
      <c r="Z349" s="1411">
        <v>284</v>
      </c>
      <c r="AA349" s="1417" t="s">
        <v>2491</v>
      </c>
      <c r="AB349" s="1419" t="e">
        <f t="shared" si="30"/>
        <v>#NUM!</v>
      </c>
      <c r="AC349" s="1418" t="e">
        <f t="shared" si="32"/>
        <v>#NUM!</v>
      </c>
      <c r="AD349" s="1413">
        <f t="shared" si="32"/>
        <v>0</v>
      </c>
      <c r="AE349" s="1411">
        <v>30</v>
      </c>
      <c r="AF349" s="1411">
        <f t="shared" si="28"/>
        <v>0</v>
      </c>
      <c r="AG349" s="1412" t="e">
        <f t="shared" si="29"/>
        <v>#NUM!</v>
      </c>
      <c r="AH349" s="1415"/>
      <c r="AI349" s="1434"/>
      <c r="AJ349" s="1414"/>
    </row>
    <row r="350" spans="26:36" ht="15">
      <c r="Z350" s="1411">
        <v>285</v>
      </c>
      <c r="AA350" s="1417" t="s">
        <v>2491</v>
      </c>
      <c r="AB350" s="1419" t="e">
        <f t="shared" si="30"/>
        <v>#NUM!</v>
      </c>
      <c r="AC350" s="1418" t="e">
        <f t="shared" si="32"/>
        <v>#NUM!</v>
      </c>
      <c r="AD350" s="1413">
        <f t="shared" si="32"/>
        <v>0</v>
      </c>
      <c r="AE350" s="1411">
        <v>30</v>
      </c>
      <c r="AF350" s="1411">
        <f t="shared" si="28"/>
        <v>0</v>
      </c>
      <c r="AG350" s="1412" t="e">
        <f t="shared" si="29"/>
        <v>#NUM!</v>
      </c>
      <c r="AH350" s="1415"/>
      <c r="AI350" s="1434"/>
      <c r="AJ350" s="1414"/>
    </row>
    <row r="351" spans="26:36" ht="15">
      <c r="Z351" s="1411">
        <v>286</v>
      </c>
      <c r="AA351" s="1417" t="s">
        <v>2491</v>
      </c>
      <c r="AB351" s="1419" t="e">
        <f t="shared" si="30"/>
        <v>#NUM!</v>
      </c>
      <c r="AC351" s="1418" t="e">
        <f t="shared" si="32"/>
        <v>#NUM!</v>
      </c>
      <c r="AD351" s="1413">
        <f t="shared" si="32"/>
        <v>0</v>
      </c>
      <c r="AE351" s="1411">
        <v>30</v>
      </c>
      <c r="AF351" s="1411">
        <f t="shared" si="28"/>
        <v>0</v>
      </c>
      <c r="AG351" s="1412" t="e">
        <f t="shared" si="29"/>
        <v>#NUM!</v>
      </c>
      <c r="AH351" s="1415"/>
      <c r="AI351" s="1434"/>
      <c r="AJ351" s="1414"/>
    </row>
    <row r="352" spans="26:36" ht="15">
      <c r="Z352" s="1411">
        <v>287</v>
      </c>
      <c r="AA352" s="1417" t="s">
        <v>2491</v>
      </c>
      <c r="AB352" s="1419" t="e">
        <f t="shared" si="30"/>
        <v>#NUM!</v>
      </c>
      <c r="AC352" s="1418" t="e">
        <f t="shared" si="32"/>
        <v>#NUM!</v>
      </c>
      <c r="AD352" s="1413">
        <f t="shared" si="32"/>
        <v>0</v>
      </c>
      <c r="AE352" s="1411">
        <v>30</v>
      </c>
      <c r="AF352" s="1411">
        <f t="shared" si="28"/>
        <v>0</v>
      </c>
      <c r="AG352" s="1412" t="e">
        <f t="shared" si="29"/>
        <v>#NUM!</v>
      </c>
      <c r="AH352" s="1415"/>
      <c r="AI352" s="1434"/>
      <c r="AJ352" s="1414"/>
    </row>
    <row r="353" spans="26:36" ht="15">
      <c r="Z353" s="1411">
        <v>288</v>
      </c>
      <c r="AA353" s="1417" t="s">
        <v>2491</v>
      </c>
      <c r="AB353" s="1419" t="e">
        <f t="shared" si="30"/>
        <v>#NUM!</v>
      </c>
      <c r="AC353" s="1418" t="e">
        <f t="shared" si="32"/>
        <v>#NUM!</v>
      </c>
      <c r="AD353" s="1413">
        <f t="shared" si="32"/>
        <v>0</v>
      </c>
      <c r="AE353" s="1411">
        <v>30</v>
      </c>
      <c r="AF353" s="1411">
        <f t="shared" si="28"/>
        <v>0</v>
      </c>
      <c r="AG353" s="1412" t="e">
        <f t="shared" si="29"/>
        <v>#NUM!</v>
      </c>
      <c r="AH353" s="1415"/>
      <c r="AI353" s="1434"/>
      <c r="AJ353" s="1414"/>
    </row>
    <row r="354" spans="26:36" ht="15">
      <c r="Z354" s="1411">
        <v>289</v>
      </c>
      <c r="AA354" s="1417" t="s">
        <v>2491</v>
      </c>
      <c r="AB354" s="1419" t="e">
        <f t="shared" si="30"/>
        <v>#NUM!</v>
      </c>
      <c r="AC354" s="1418" t="e">
        <f t="shared" si="32"/>
        <v>#NUM!</v>
      </c>
      <c r="AD354" s="1413">
        <f t="shared" si="32"/>
        <v>0</v>
      </c>
      <c r="AE354" s="1411">
        <v>30</v>
      </c>
      <c r="AF354" s="1411">
        <f t="shared" si="28"/>
        <v>0</v>
      </c>
      <c r="AG354" s="1412" t="e">
        <f t="shared" si="29"/>
        <v>#NUM!</v>
      </c>
      <c r="AH354" s="1415" t="e">
        <f>MAX(0,AB354*0.005)</f>
        <v>#NUM!</v>
      </c>
      <c r="AI354" s="1434">
        <v>25</v>
      </c>
      <c r="AJ354" s="1414"/>
    </row>
    <row r="355" spans="26:36" ht="15">
      <c r="Z355" s="1411">
        <v>290</v>
      </c>
      <c r="AA355" s="1417" t="s">
        <v>2491</v>
      </c>
      <c r="AB355" s="1419" t="e">
        <f t="shared" si="30"/>
        <v>#NUM!</v>
      </c>
      <c r="AC355" s="1418" t="e">
        <f t="shared" si="32"/>
        <v>#NUM!</v>
      </c>
      <c r="AD355" s="1413">
        <f t="shared" si="32"/>
        <v>0</v>
      </c>
      <c r="AE355" s="1411">
        <v>30</v>
      </c>
      <c r="AF355" s="1411">
        <f t="shared" si="28"/>
        <v>0</v>
      </c>
      <c r="AG355" s="1412" t="e">
        <f t="shared" si="29"/>
        <v>#NUM!</v>
      </c>
      <c r="AH355" s="1415"/>
      <c r="AI355" s="1434"/>
      <c r="AJ355" s="1414"/>
    </row>
    <row r="356" spans="26:36" ht="15">
      <c r="Z356" s="1411">
        <v>291</v>
      </c>
      <c r="AA356" s="1417" t="s">
        <v>2491</v>
      </c>
      <c r="AB356" s="1419" t="e">
        <f t="shared" si="30"/>
        <v>#NUM!</v>
      </c>
      <c r="AC356" s="1418" t="e">
        <f t="shared" ref="AC356:AD371" si="33">+AC355</f>
        <v>#NUM!</v>
      </c>
      <c r="AD356" s="1413">
        <f t="shared" si="33"/>
        <v>0</v>
      </c>
      <c r="AE356" s="1411">
        <v>30</v>
      </c>
      <c r="AF356" s="1411">
        <f t="shared" si="28"/>
        <v>0</v>
      </c>
      <c r="AG356" s="1412" t="e">
        <f t="shared" si="29"/>
        <v>#NUM!</v>
      </c>
      <c r="AH356" s="1415"/>
      <c r="AI356" s="1434"/>
      <c r="AJ356" s="1414"/>
    </row>
    <row r="357" spans="26:36" ht="15">
      <c r="Z357" s="1411">
        <v>292</v>
      </c>
      <c r="AA357" s="1417" t="s">
        <v>2491</v>
      </c>
      <c r="AB357" s="1419" t="e">
        <f t="shared" si="30"/>
        <v>#NUM!</v>
      </c>
      <c r="AC357" s="1418" t="e">
        <f t="shared" si="33"/>
        <v>#NUM!</v>
      </c>
      <c r="AD357" s="1413">
        <f t="shared" si="33"/>
        <v>0</v>
      </c>
      <c r="AE357" s="1411">
        <v>30</v>
      </c>
      <c r="AF357" s="1411">
        <f t="shared" si="28"/>
        <v>0</v>
      </c>
      <c r="AG357" s="1412" t="e">
        <f t="shared" si="29"/>
        <v>#NUM!</v>
      </c>
      <c r="AH357" s="1415"/>
      <c r="AI357" s="1434"/>
      <c r="AJ357" s="1414"/>
    </row>
    <row r="358" spans="26:36" ht="15">
      <c r="Z358" s="1411">
        <v>293</v>
      </c>
      <c r="AA358" s="1417" t="s">
        <v>2491</v>
      </c>
      <c r="AB358" s="1419" t="e">
        <f t="shared" si="30"/>
        <v>#NUM!</v>
      </c>
      <c r="AC358" s="1418" t="e">
        <f t="shared" si="33"/>
        <v>#NUM!</v>
      </c>
      <c r="AD358" s="1413">
        <f t="shared" si="33"/>
        <v>0</v>
      </c>
      <c r="AE358" s="1411">
        <v>30</v>
      </c>
      <c r="AF358" s="1411">
        <f t="shared" si="28"/>
        <v>0</v>
      </c>
      <c r="AG358" s="1412" t="e">
        <f t="shared" si="29"/>
        <v>#NUM!</v>
      </c>
      <c r="AH358" s="1415"/>
      <c r="AI358" s="1434"/>
      <c r="AJ358" s="1414"/>
    </row>
    <row r="359" spans="26:36" ht="15">
      <c r="Z359" s="1411">
        <v>294</v>
      </c>
      <c r="AA359" s="1417" t="s">
        <v>2491</v>
      </c>
      <c r="AB359" s="1419" t="e">
        <f t="shared" si="30"/>
        <v>#NUM!</v>
      </c>
      <c r="AC359" s="1418" t="e">
        <f t="shared" si="33"/>
        <v>#NUM!</v>
      </c>
      <c r="AD359" s="1413">
        <f t="shared" si="33"/>
        <v>0</v>
      </c>
      <c r="AE359" s="1411">
        <v>30</v>
      </c>
      <c r="AF359" s="1411">
        <f t="shared" si="28"/>
        <v>0</v>
      </c>
      <c r="AG359" s="1412" t="e">
        <f t="shared" si="29"/>
        <v>#NUM!</v>
      </c>
      <c r="AH359" s="1415"/>
      <c r="AI359" s="1434"/>
      <c r="AJ359" s="1414"/>
    </row>
    <row r="360" spans="26:36" ht="15">
      <c r="Z360" s="1411">
        <v>295</v>
      </c>
      <c r="AA360" s="1417" t="s">
        <v>2491</v>
      </c>
      <c r="AB360" s="1419" t="e">
        <f t="shared" si="30"/>
        <v>#NUM!</v>
      </c>
      <c r="AC360" s="1418" t="e">
        <f t="shared" si="33"/>
        <v>#NUM!</v>
      </c>
      <c r="AD360" s="1413">
        <f t="shared" si="33"/>
        <v>0</v>
      </c>
      <c r="AE360" s="1411">
        <v>30</v>
      </c>
      <c r="AF360" s="1411">
        <f t="shared" si="28"/>
        <v>0</v>
      </c>
      <c r="AG360" s="1412" t="e">
        <f t="shared" si="29"/>
        <v>#NUM!</v>
      </c>
      <c r="AH360" s="1415"/>
      <c r="AI360" s="1434"/>
      <c r="AJ360" s="1414"/>
    </row>
    <row r="361" spans="26:36" ht="15">
      <c r="Z361" s="1411">
        <v>296</v>
      </c>
      <c r="AA361" s="1417" t="s">
        <v>2491</v>
      </c>
      <c r="AB361" s="1419" t="e">
        <f t="shared" si="30"/>
        <v>#NUM!</v>
      </c>
      <c r="AC361" s="1418" t="e">
        <f t="shared" si="33"/>
        <v>#NUM!</v>
      </c>
      <c r="AD361" s="1413">
        <f t="shared" si="33"/>
        <v>0</v>
      </c>
      <c r="AE361" s="1411">
        <v>30</v>
      </c>
      <c r="AF361" s="1411">
        <f t="shared" si="28"/>
        <v>0</v>
      </c>
      <c r="AG361" s="1412" t="e">
        <f t="shared" si="29"/>
        <v>#NUM!</v>
      </c>
      <c r="AH361" s="1415"/>
      <c r="AI361" s="1434"/>
      <c r="AJ361" s="1414"/>
    </row>
    <row r="362" spans="26:36" ht="15">
      <c r="Z362" s="1411">
        <v>297</v>
      </c>
      <c r="AA362" s="1417" t="s">
        <v>2491</v>
      </c>
      <c r="AB362" s="1419" t="e">
        <f t="shared" si="30"/>
        <v>#NUM!</v>
      </c>
      <c r="AC362" s="1418" t="e">
        <f t="shared" si="33"/>
        <v>#NUM!</v>
      </c>
      <c r="AD362" s="1413">
        <f t="shared" si="33"/>
        <v>0</v>
      </c>
      <c r="AE362" s="1411">
        <v>30</v>
      </c>
      <c r="AF362" s="1411">
        <f t="shared" si="28"/>
        <v>0</v>
      </c>
      <c r="AG362" s="1412" t="e">
        <f t="shared" si="29"/>
        <v>#NUM!</v>
      </c>
      <c r="AH362" s="1415"/>
      <c r="AI362" s="1434"/>
      <c r="AJ362" s="1414"/>
    </row>
    <row r="363" spans="26:36" ht="15">
      <c r="Z363" s="1411">
        <v>298</v>
      </c>
      <c r="AA363" s="1417" t="s">
        <v>2491</v>
      </c>
      <c r="AB363" s="1419" t="e">
        <f t="shared" si="30"/>
        <v>#NUM!</v>
      </c>
      <c r="AC363" s="1418" t="e">
        <f t="shared" si="33"/>
        <v>#NUM!</v>
      </c>
      <c r="AD363" s="1413">
        <f t="shared" si="33"/>
        <v>0</v>
      </c>
      <c r="AE363" s="1411">
        <v>30</v>
      </c>
      <c r="AF363" s="1411">
        <f t="shared" si="28"/>
        <v>0</v>
      </c>
      <c r="AG363" s="1412" t="e">
        <f t="shared" si="29"/>
        <v>#NUM!</v>
      </c>
      <c r="AH363" s="1415"/>
      <c r="AI363" s="1434"/>
      <c r="AJ363" s="1414"/>
    </row>
    <row r="364" spans="26:36" ht="15">
      <c r="Z364" s="1411">
        <v>299</v>
      </c>
      <c r="AA364" s="1417" t="s">
        <v>2491</v>
      </c>
      <c r="AB364" s="1419" t="e">
        <f t="shared" si="30"/>
        <v>#NUM!</v>
      </c>
      <c r="AC364" s="1418" t="e">
        <f t="shared" si="33"/>
        <v>#NUM!</v>
      </c>
      <c r="AD364" s="1413">
        <f t="shared" si="33"/>
        <v>0</v>
      </c>
      <c r="AE364" s="1411">
        <v>30</v>
      </c>
      <c r="AF364" s="1411">
        <f t="shared" si="28"/>
        <v>0</v>
      </c>
      <c r="AG364" s="1412" t="e">
        <f t="shared" si="29"/>
        <v>#NUM!</v>
      </c>
      <c r="AH364" s="1415"/>
      <c r="AI364" s="1434"/>
      <c r="AJ364" s="1414"/>
    </row>
    <row r="365" spans="26:36" ht="15">
      <c r="Z365" s="1411">
        <v>300</v>
      </c>
      <c r="AA365" s="1417" t="s">
        <v>2491</v>
      </c>
      <c r="AB365" s="1419" t="e">
        <f t="shared" si="30"/>
        <v>#NUM!</v>
      </c>
      <c r="AC365" s="1418" t="e">
        <f t="shared" si="33"/>
        <v>#NUM!</v>
      </c>
      <c r="AD365" s="1413">
        <f t="shared" si="33"/>
        <v>0</v>
      </c>
      <c r="AE365" s="1411">
        <v>30</v>
      </c>
      <c r="AF365" s="1411">
        <f t="shared" si="28"/>
        <v>0</v>
      </c>
      <c r="AG365" s="1412" t="e">
        <f t="shared" si="29"/>
        <v>#NUM!</v>
      </c>
      <c r="AH365" s="1415"/>
      <c r="AI365" s="1434"/>
      <c r="AJ365" s="1414"/>
    </row>
    <row r="366" spans="26:36" ht="15">
      <c r="Z366" s="1411">
        <v>301</v>
      </c>
      <c r="AA366" s="1417" t="s">
        <v>2491</v>
      </c>
      <c r="AB366" s="1419" t="e">
        <f t="shared" si="30"/>
        <v>#NUM!</v>
      </c>
      <c r="AC366" s="1418" t="e">
        <f t="shared" si="33"/>
        <v>#NUM!</v>
      </c>
      <c r="AD366" s="1413">
        <f t="shared" si="33"/>
        <v>0</v>
      </c>
      <c r="AE366" s="1411">
        <v>30</v>
      </c>
      <c r="AF366" s="1411">
        <f t="shared" si="28"/>
        <v>0</v>
      </c>
      <c r="AG366" s="1412" t="e">
        <f t="shared" si="29"/>
        <v>#NUM!</v>
      </c>
      <c r="AH366" s="1415" t="e">
        <f>MAX(0,AB366*0.005)</f>
        <v>#NUM!</v>
      </c>
      <c r="AI366" s="1434">
        <v>26</v>
      </c>
      <c r="AJ366" s="1414"/>
    </row>
    <row r="367" spans="26:36" ht="15">
      <c r="Z367" s="1411">
        <v>302</v>
      </c>
      <c r="AA367" s="1417" t="s">
        <v>2491</v>
      </c>
      <c r="AB367" s="1419" t="e">
        <f t="shared" si="30"/>
        <v>#NUM!</v>
      </c>
      <c r="AC367" s="1418" t="e">
        <f t="shared" si="33"/>
        <v>#NUM!</v>
      </c>
      <c r="AD367" s="1413">
        <f t="shared" si="33"/>
        <v>0</v>
      </c>
      <c r="AE367" s="1411">
        <v>30</v>
      </c>
      <c r="AF367" s="1411">
        <f t="shared" si="28"/>
        <v>0</v>
      </c>
      <c r="AG367" s="1412" t="e">
        <f t="shared" si="29"/>
        <v>#NUM!</v>
      </c>
      <c r="AH367" s="1415"/>
      <c r="AI367" s="1434"/>
      <c r="AJ367" s="1414"/>
    </row>
    <row r="368" spans="26:36" ht="15">
      <c r="Z368" s="1411">
        <v>303</v>
      </c>
      <c r="AA368" s="1417" t="s">
        <v>2491</v>
      </c>
      <c r="AB368" s="1419" t="e">
        <f t="shared" si="30"/>
        <v>#NUM!</v>
      </c>
      <c r="AC368" s="1418" t="e">
        <f t="shared" si="33"/>
        <v>#NUM!</v>
      </c>
      <c r="AD368" s="1413">
        <f t="shared" si="33"/>
        <v>0</v>
      </c>
      <c r="AE368" s="1411">
        <v>30</v>
      </c>
      <c r="AF368" s="1411">
        <f t="shared" si="28"/>
        <v>0</v>
      </c>
      <c r="AG368" s="1412" t="e">
        <f t="shared" si="29"/>
        <v>#NUM!</v>
      </c>
      <c r="AH368" s="1415"/>
      <c r="AI368" s="1434"/>
      <c r="AJ368" s="1414"/>
    </row>
    <row r="369" spans="26:36" ht="15">
      <c r="Z369" s="1411">
        <v>304</v>
      </c>
      <c r="AA369" s="1417" t="s">
        <v>2491</v>
      </c>
      <c r="AB369" s="1419" t="e">
        <f t="shared" si="30"/>
        <v>#NUM!</v>
      </c>
      <c r="AC369" s="1418" t="e">
        <f t="shared" si="33"/>
        <v>#NUM!</v>
      </c>
      <c r="AD369" s="1413">
        <f t="shared" si="33"/>
        <v>0</v>
      </c>
      <c r="AE369" s="1411">
        <v>30</v>
      </c>
      <c r="AF369" s="1411">
        <f t="shared" si="28"/>
        <v>0</v>
      </c>
      <c r="AG369" s="1412" t="e">
        <f t="shared" si="29"/>
        <v>#NUM!</v>
      </c>
      <c r="AH369" s="1415"/>
      <c r="AI369" s="1434"/>
      <c r="AJ369" s="1414"/>
    </row>
    <row r="370" spans="26:36" ht="15">
      <c r="Z370" s="1411">
        <v>305</v>
      </c>
      <c r="AA370" s="1417" t="s">
        <v>2491</v>
      </c>
      <c r="AB370" s="1419" t="e">
        <f t="shared" si="30"/>
        <v>#NUM!</v>
      </c>
      <c r="AC370" s="1418" t="e">
        <f t="shared" si="33"/>
        <v>#NUM!</v>
      </c>
      <c r="AD370" s="1413">
        <f t="shared" si="33"/>
        <v>0</v>
      </c>
      <c r="AE370" s="1411">
        <v>30</v>
      </c>
      <c r="AF370" s="1411">
        <f t="shared" si="28"/>
        <v>0</v>
      </c>
      <c r="AG370" s="1412" t="e">
        <f t="shared" si="29"/>
        <v>#NUM!</v>
      </c>
      <c r="AH370" s="1415"/>
      <c r="AI370" s="1434"/>
      <c r="AJ370" s="1414"/>
    </row>
    <row r="371" spans="26:36" ht="15">
      <c r="Z371" s="1411">
        <v>306</v>
      </c>
      <c r="AA371" s="1417" t="s">
        <v>2491</v>
      </c>
      <c r="AB371" s="1419" t="e">
        <f t="shared" si="30"/>
        <v>#NUM!</v>
      </c>
      <c r="AC371" s="1418" t="e">
        <f t="shared" si="33"/>
        <v>#NUM!</v>
      </c>
      <c r="AD371" s="1413">
        <f t="shared" si="33"/>
        <v>0</v>
      </c>
      <c r="AE371" s="1411">
        <v>30</v>
      </c>
      <c r="AF371" s="1411">
        <f t="shared" si="28"/>
        <v>0</v>
      </c>
      <c r="AG371" s="1412" t="e">
        <f t="shared" si="29"/>
        <v>#NUM!</v>
      </c>
      <c r="AH371" s="1415"/>
      <c r="AI371" s="1434"/>
      <c r="AJ371" s="1414"/>
    </row>
    <row r="372" spans="26:36" ht="15">
      <c r="Z372" s="1411">
        <v>307</v>
      </c>
      <c r="AA372" s="1417" t="s">
        <v>2491</v>
      </c>
      <c r="AB372" s="1419" t="e">
        <f t="shared" si="30"/>
        <v>#NUM!</v>
      </c>
      <c r="AC372" s="1418" t="e">
        <f t="shared" ref="AC372:AD387" si="34">+AC371</f>
        <v>#NUM!</v>
      </c>
      <c r="AD372" s="1413">
        <f t="shared" si="34"/>
        <v>0</v>
      </c>
      <c r="AE372" s="1411">
        <v>30</v>
      </c>
      <c r="AF372" s="1411">
        <f t="shared" si="28"/>
        <v>0</v>
      </c>
      <c r="AG372" s="1412" t="e">
        <f t="shared" si="29"/>
        <v>#NUM!</v>
      </c>
      <c r="AH372" s="1415"/>
      <c r="AI372" s="1434"/>
      <c r="AJ372" s="1414"/>
    </row>
    <row r="373" spans="26:36" ht="15">
      <c r="Z373" s="1411">
        <v>308</v>
      </c>
      <c r="AA373" s="1417" t="s">
        <v>2491</v>
      </c>
      <c r="AB373" s="1419" t="e">
        <f t="shared" si="30"/>
        <v>#NUM!</v>
      </c>
      <c r="AC373" s="1418" t="e">
        <f t="shared" si="34"/>
        <v>#NUM!</v>
      </c>
      <c r="AD373" s="1413">
        <f t="shared" si="34"/>
        <v>0</v>
      </c>
      <c r="AE373" s="1411">
        <v>30</v>
      </c>
      <c r="AF373" s="1411">
        <f t="shared" si="28"/>
        <v>0</v>
      </c>
      <c r="AG373" s="1412" t="e">
        <f t="shared" si="29"/>
        <v>#NUM!</v>
      </c>
      <c r="AH373" s="1415"/>
      <c r="AI373" s="1434"/>
      <c r="AJ373" s="1414"/>
    </row>
    <row r="374" spans="26:36" ht="15">
      <c r="Z374" s="1411">
        <v>309</v>
      </c>
      <c r="AA374" s="1417" t="s">
        <v>2491</v>
      </c>
      <c r="AB374" s="1419" t="e">
        <f t="shared" si="30"/>
        <v>#NUM!</v>
      </c>
      <c r="AC374" s="1418" t="e">
        <f t="shared" si="34"/>
        <v>#NUM!</v>
      </c>
      <c r="AD374" s="1413">
        <f t="shared" si="34"/>
        <v>0</v>
      </c>
      <c r="AE374" s="1411">
        <v>30</v>
      </c>
      <c r="AF374" s="1411">
        <f t="shared" si="28"/>
        <v>0</v>
      </c>
      <c r="AG374" s="1412" t="e">
        <f t="shared" si="29"/>
        <v>#NUM!</v>
      </c>
      <c r="AH374" s="1415"/>
      <c r="AI374" s="1434"/>
      <c r="AJ374" s="1414"/>
    </row>
    <row r="375" spans="26:36" ht="15">
      <c r="Z375" s="1411">
        <v>310</v>
      </c>
      <c r="AA375" s="1417" t="s">
        <v>2491</v>
      </c>
      <c r="AB375" s="1419" t="e">
        <f t="shared" si="30"/>
        <v>#NUM!</v>
      </c>
      <c r="AC375" s="1418" t="e">
        <f t="shared" si="34"/>
        <v>#NUM!</v>
      </c>
      <c r="AD375" s="1413">
        <f t="shared" si="34"/>
        <v>0</v>
      </c>
      <c r="AE375" s="1411">
        <v>30</v>
      </c>
      <c r="AF375" s="1411">
        <f t="shared" si="28"/>
        <v>0</v>
      </c>
      <c r="AG375" s="1412" t="e">
        <f t="shared" si="29"/>
        <v>#NUM!</v>
      </c>
      <c r="AH375" s="1415"/>
      <c r="AI375" s="1434"/>
      <c r="AJ375" s="1414"/>
    </row>
    <row r="376" spans="26:36" ht="15">
      <c r="Z376" s="1411">
        <v>311</v>
      </c>
      <c r="AA376" s="1417" t="s">
        <v>2491</v>
      </c>
      <c r="AB376" s="1419" t="e">
        <f t="shared" si="30"/>
        <v>#NUM!</v>
      </c>
      <c r="AC376" s="1418" t="e">
        <f t="shared" si="34"/>
        <v>#NUM!</v>
      </c>
      <c r="AD376" s="1413">
        <f t="shared" si="34"/>
        <v>0</v>
      </c>
      <c r="AE376" s="1411">
        <v>30</v>
      </c>
      <c r="AF376" s="1411">
        <f t="shared" si="28"/>
        <v>0</v>
      </c>
      <c r="AG376" s="1412" t="e">
        <f t="shared" si="29"/>
        <v>#NUM!</v>
      </c>
      <c r="AH376" s="1415"/>
      <c r="AI376" s="1434"/>
      <c r="AJ376" s="1414"/>
    </row>
    <row r="377" spans="26:36" ht="15">
      <c r="Z377" s="1411">
        <v>312</v>
      </c>
      <c r="AA377" s="1417" t="s">
        <v>2491</v>
      </c>
      <c r="AB377" s="1419" t="e">
        <f t="shared" si="30"/>
        <v>#NUM!</v>
      </c>
      <c r="AC377" s="1418" t="e">
        <f t="shared" si="34"/>
        <v>#NUM!</v>
      </c>
      <c r="AD377" s="1413">
        <f t="shared" si="34"/>
        <v>0</v>
      </c>
      <c r="AE377" s="1411">
        <v>30</v>
      </c>
      <c r="AF377" s="1411">
        <f t="shared" si="28"/>
        <v>0</v>
      </c>
      <c r="AG377" s="1412" t="e">
        <f t="shared" si="29"/>
        <v>#NUM!</v>
      </c>
      <c r="AH377" s="1415"/>
      <c r="AI377" s="1434"/>
      <c r="AJ377" s="1414"/>
    </row>
    <row r="378" spans="26:36" ht="15">
      <c r="Z378" s="1411">
        <v>313</v>
      </c>
      <c r="AA378" s="1417" t="s">
        <v>2491</v>
      </c>
      <c r="AB378" s="1419" t="e">
        <f t="shared" si="30"/>
        <v>#NUM!</v>
      </c>
      <c r="AC378" s="1418" t="e">
        <f t="shared" si="34"/>
        <v>#NUM!</v>
      </c>
      <c r="AD378" s="1413">
        <f t="shared" si="34"/>
        <v>0</v>
      </c>
      <c r="AE378" s="1411">
        <v>30</v>
      </c>
      <c r="AF378" s="1411">
        <f t="shared" si="28"/>
        <v>0</v>
      </c>
      <c r="AG378" s="1412" t="e">
        <f t="shared" si="29"/>
        <v>#NUM!</v>
      </c>
      <c r="AH378" s="1415" t="e">
        <f>MAX(0,AB378*0.005)</f>
        <v>#NUM!</v>
      </c>
      <c r="AI378" s="1434">
        <v>27</v>
      </c>
      <c r="AJ378" s="1414"/>
    </row>
    <row r="379" spans="26:36" ht="15">
      <c r="Z379" s="1411">
        <v>314</v>
      </c>
      <c r="AA379" s="1417" t="s">
        <v>2491</v>
      </c>
      <c r="AB379" s="1419" t="e">
        <f t="shared" si="30"/>
        <v>#NUM!</v>
      </c>
      <c r="AC379" s="1418" t="e">
        <f t="shared" si="34"/>
        <v>#NUM!</v>
      </c>
      <c r="AD379" s="1413">
        <f t="shared" si="34"/>
        <v>0</v>
      </c>
      <c r="AE379" s="1411">
        <v>30</v>
      </c>
      <c r="AF379" s="1411">
        <f t="shared" si="28"/>
        <v>0</v>
      </c>
      <c r="AG379" s="1412" t="e">
        <f t="shared" si="29"/>
        <v>#NUM!</v>
      </c>
      <c r="AH379" s="1415"/>
      <c r="AI379" s="1434"/>
      <c r="AJ379" s="1414"/>
    </row>
    <row r="380" spans="26:36" ht="15">
      <c r="Z380" s="1411">
        <v>315</v>
      </c>
      <c r="AA380" s="1417" t="s">
        <v>2491</v>
      </c>
      <c r="AB380" s="1419" t="e">
        <f t="shared" si="30"/>
        <v>#NUM!</v>
      </c>
      <c r="AC380" s="1418" t="e">
        <f t="shared" si="34"/>
        <v>#NUM!</v>
      </c>
      <c r="AD380" s="1413">
        <f t="shared" si="34"/>
        <v>0</v>
      </c>
      <c r="AE380" s="1411">
        <v>30</v>
      </c>
      <c r="AF380" s="1411">
        <f t="shared" si="28"/>
        <v>0</v>
      </c>
      <c r="AG380" s="1412" t="e">
        <f t="shared" si="29"/>
        <v>#NUM!</v>
      </c>
      <c r="AH380" s="1415"/>
      <c r="AI380" s="1434"/>
      <c r="AJ380" s="1414"/>
    </row>
    <row r="381" spans="26:36" ht="15">
      <c r="Z381" s="1411">
        <v>316</v>
      </c>
      <c r="AA381" s="1417" t="s">
        <v>2491</v>
      </c>
      <c r="AB381" s="1419" t="e">
        <f t="shared" si="30"/>
        <v>#NUM!</v>
      </c>
      <c r="AC381" s="1418" t="e">
        <f t="shared" si="34"/>
        <v>#NUM!</v>
      </c>
      <c r="AD381" s="1413">
        <f t="shared" si="34"/>
        <v>0</v>
      </c>
      <c r="AE381" s="1411">
        <v>30</v>
      </c>
      <c r="AF381" s="1411">
        <f t="shared" si="28"/>
        <v>0</v>
      </c>
      <c r="AG381" s="1412" t="e">
        <f t="shared" si="29"/>
        <v>#NUM!</v>
      </c>
      <c r="AH381" s="1415"/>
      <c r="AI381" s="1434"/>
      <c r="AJ381" s="1414"/>
    </row>
    <row r="382" spans="26:36" ht="15">
      <c r="Z382" s="1411">
        <v>317</v>
      </c>
      <c r="AA382" s="1417" t="s">
        <v>2491</v>
      </c>
      <c r="AB382" s="1419" t="e">
        <f t="shared" si="30"/>
        <v>#NUM!</v>
      </c>
      <c r="AC382" s="1418" t="e">
        <f t="shared" si="34"/>
        <v>#NUM!</v>
      </c>
      <c r="AD382" s="1413">
        <f t="shared" si="34"/>
        <v>0</v>
      </c>
      <c r="AE382" s="1411">
        <v>30</v>
      </c>
      <c r="AF382" s="1411">
        <f t="shared" si="28"/>
        <v>0</v>
      </c>
      <c r="AG382" s="1412" t="e">
        <f t="shared" si="29"/>
        <v>#NUM!</v>
      </c>
      <c r="AH382" s="1415"/>
      <c r="AI382" s="1434"/>
      <c r="AJ382" s="1414"/>
    </row>
    <row r="383" spans="26:36" ht="15">
      <c r="Z383" s="1411">
        <v>318</v>
      </c>
      <c r="AA383" s="1417" t="s">
        <v>2491</v>
      </c>
      <c r="AB383" s="1419" t="e">
        <f t="shared" si="30"/>
        <v>#NUM!</v>
      </c>
      <c r="AC383" s="1418" t="e">
        <f t="shared" si="34"/>
        <v>#NUM!</v>
      </c>
      <c r="AD383" s="1413">
        <f t="shared" si="34"/>
        <v>0</v>
      </c>
      <c r="AE383" s="1411">
        <v>30</v>
      </c>
      <c r="AF383" s="1411">
        <f t="shared" si="28"/>
        <v>0</v>
      </c>
      <c r="AG383" s="1412" t="e">
        <f t="shared" si="29"/>
        <v>#NUM!</v>
      </c>
      <c r="AH383" s="1415"/>
      <c r="AI383" s="1434"/>
      <c r="AJ383" s="1414"/>
    </row>
    <row r="384" spans="26:36" ht="15">
      <c r="Z384" s="1411">
        <v>319</v>
      </c>
      <c r="AA384" s="1417" t="s">
        <v>2491</v>
      </c>
      <c r="AB384" s="1419" t="e">
        <f t="shared" si="30"/>
        <v>#NUM!</v>
      </c>
      <c r="AC384" s="1418" t="e">
        <f t="shared" si="34"/>
        <v>#NUM!</v>
      </c>
      <c r="AD384" s="1413">
        <f t="shared" si="34"/>
        <v>0</v>
      </c>
      <c r="AE384" s="1411">
        <v>30</v>
      </c>
      <c r="AF384" s="1411">
        <f t="shared" si="28"/>
        <v>0</v>
      </c>
      <c r="AG384" s="1412" t="e">
        <f t="shared" si="29"/>
        <v>#NUM!</v>
      </c>
      <c r="AH384" s="1415"/>
      <c r="AI384" s="1434"/>
      <c r="AJ384" s="1414"/>
    </row>
    <row r="385" spans="26:36" ht="15">
      <c r="Z385" s="1411">
        <v>320</v>
      </c>
      <c r="AA385" s="1417" t="s">
        <v>2491</v>
      </c>
      <c r="AB385" s="1419" t="e">
        <f t="shared" si="30"/>
        <v>#NUM!</v>
      </c>
      <c r="AC385" s="1418" t="e">
        <f t="shared" si="34"/>
        <v>#NUM!</v>
      </c>
      <c r="AD385" s="1413">
        <f t="shared" si="34"/>
        <v>0</v>
      </c>
      <c r="AE385" s="1411">
        <v>30</v>
      </c>
      <c r="AF385" s="1411">
        <f t="shared" si="28"/>
        <v>0</v>
      </c>
      <c r="AG385" s="1412" t="e">
        <f t="shared" si="29"/>
        <v>#NUM!</v>
      </c>
      <c r="AH385" s="1415"/>
      <c r="AI385" s="1434"/>
      <c r="AJ385" s="1414"/>
    </row>
    <row r="386" spans="26:36" ht="15">
      <c r="Z386" s="1411">
        <v>321</v>
      </c>
      <c r="AA386" s="1417" t="s">
        <v>2491</v>
      </c>
      <c r="AB386" s="1419" t="e">
        <f t="shared" si="30"/>
        <v>#NUM!</v>
      </c>
      <c r="AC386" s="1418" t="e">
        <f t="shared" si="34"/>
        <v>#NUM!</v>
      </c>
      <c r="AD386" s="1413">
        <f t="shared" si="34"/>
        <v>0</v>
      </c>
      <c r="AE386" s="1411">
        <v>30</v>
      </c>
      <c r="AF386" s="1411">
        <f t="shared" ref="AF386:AF449" si="35">AD386/360</f>
        <v>0</v>
      </c>
      <c r="AG386" s="1412" t="e">
        <f t="shared" ref="AG386:AG449" si="36">+AB386*AE386*AF386</f>
        <v>#NUM!</v>
      </c>
      <c r="AH386" s="1415"/>
      <c r="AI386" s="1434"/>
      <c r="AJ386" s="1414"/>
    </row>
    <row r="387" spans="26:36" ht="15">
      <c r="Z387" s="1411">
        <v>322</v>
      </c>
      <c r="AA387" s="1417" t="s">
        <v>2491</v>
      </c>
      <c r="AB387" s="1419" t="e">
        <f t="shared" ref="AB387:AB450" si="37">+AB386-AC386+AG386</f>
        <v>#NUM!</v>
      </c>
      <c r="AC387" s="1418" t="e">
        <f t="shared" si="34"/>
        <v>#NUM!</v>
      </c>
      <c r="AD387" s="1413">
        <f t="shared" si="34"/>
        <v>0</v>
      </c>
      <c r="AE387" s="1411">
        <v>30</v>
      </c>
      <c r="AF387" s="1411">
        <f t="shared" si="35"/>
        <v>0</v>
      </c>
      <c r="AG387" s="1412" t="e">
        <f t="shared" si="36"/>
        <v>#NUM!</v>
      </c>
      <c r="AH387" s="1415"/>
      <c r="AI387" s="1434"/>
      <c r="AJ387" s="1414"/>
    </row>
    <row r="388" spans="26:36" ht="15">
      <c r="Z388" s="1411">
        <v>323</v>
      </c>
      <c r="AA388" s="1417" t="s">
        <v>2491</v>
      </c>
      <c r="AB388" s="1419" t="e">
        <f t="shared" si="37"/>
        <v>#NUM!</v>
      </c>
      <c r="AC388" s="1418" t="e">
        <f t="shared" ref="AC388:AD403" si="38">+AC387</f>
        <v>#NUM!</v>
      </c>
      <c r="AD388" s="1413">
        <f t="shared" si="38"/>
        <v>0</v>
      </c>
      <c r="AE388" s="1411">
        <v>30</v>
      </c>
      <c r="AF388" s="1411">
        <f t="shared" si="35"/>
        <v>0</v>
      </c>
      <c r="AG388" s="1412" t="e">
        <f t="shared" si="36"/>
        <v>#NUM!</v>
      </c>
      <c r="AH388" s="1415"/>
      <c r="AI388" s="1434"/>
      <c r="AJ388" s="1414"/>
    </row>
    <row r="389" spans="26:36" ht="15">
      <c r="Z389" s="1411">
        <v>324</v>
      </c>
      <c r="AA389" s="1417" t="s">
        <v>2491</v>
      </c>
      <c r="AB389" s="1419" t="e">
        <f t="shared" si="37"/>
        <v>#NUM!</v>
      </c>
      <c r="AC389" s="1418" t="e">
        <f t="shared" si="38"/>
        <v>#NUM!</v>
      </c>
      <c r="AD389" s="1413">
        <f t="shared" si="38"/>
        <v>0</v>
      </c>
      <c r="AE389" s="1411">
        <v>30</v>
      </c>
      <c r="AF389" s="1411">
        <f t="shared" si="35"/>
        <v>0</v>
      </c>
      <c r="AG389" s="1412" t="e">
        <f t="shared" si="36"/>
        <v>#NUM!</v>
      </c>
      <c r="AH389" s="1415"/>
      <c r="AI389" s="1434"/>
      <c r="AJ389" s="1414"/>
    </row>
    <row r="390" spans="26:36" ht="15">
      <c r="Z390" s="1411">
        <v>325</v>
      </c>
      <c r="AA390" s="1417" t="s">
        <v>2491</v>
      </c>
      <c r="AB390" s="1419" t="e">
        <f t="shared" si="37"/>
        <v>#NUM!</v>
      </c>
      <c r="AC390" s="1418" t="e">
        <f t="shared" si="38"/>
        <v>#NUM!</v>
      </c>
      <c r="AD390" s="1413">
        <f t="shared" si="38"/>
        <v>0</v>
      </c>
      <c r="AE390" s="1411">
        <v>30</v>
      </c>
      <c r="AF390" s="1411">
        <f t="shared" si="35"/>
        <v>0</v>
      </c>
      <c r="AG390" s="1412" t="e">
        <f t="shared" si="36"/>
        <v>#NUM!</v>
      </c>
      <c r="AH390" s="1415" t="e">
        <f>MAX(0,AB390*0.005)</f>
        <v>#NUM!</v>
      </c>
      <c r="AI390" s="1434">
        <v>28</v>
      </c>
      <c r="AJ390" s="1414"/>
    </row>
    <row r="391" spans="26:36" ht="15">
      <c r="Z391" s="1411">
        <v>326</v>
      </c>
      <c r="AA391" s="1417" t="s">
        <v>2491</v>
      </c>
      <c r="AB391" s="1419" t="e">
        <f t="shared" si="37"/>
        <v>#NUM!</v>
      </c>
      <c r="AC391" s="1418" t="e">
        <f t="shared" si="38"/>
        <v>#NUM!</v>
      </c>
      <c r="AD391" s="1413">
        <f t="shared" si="38"/>
        <v>0</v>
      </c>
      <c r="AE391" s="1411">
        <v>30</v>
      </c>
      <c r="AF391" s="1411">
        <f t="shared" si="35"/>
        <v>0</v>
      </c>
      <c r="AG391" s="1412" t="e">
        <f t="shared" si="36"/>
        <v>#NUM!</v>
      </c>
      <c r="AH391" s="1415"/>
      <c r="AI391" s="1434"/>
      <c r="AJ391" s="1414"/>
    </row>
    <row r="392" spans="26:36" ht="15">
      <c r="Z392" s="1411">
        <v>327</v>
      </c>
      <c r="AA392" s="1417" t="s">
        <v>2491</v>
      </c>
      <c r="AB392" s="1419" t="e">
        <f t="shared" si="37"/>
        <v>#NUM!</v>
      </c>
      <c r="AC392" s="1418" t="e">
        <f t="shared" si="38"/>
        <v>#NUM!</v>
      </c>
      <c r="AD392" s="1413">
        <f t="shared" si="38"/>
        <v>0</v>
      </c>
      <c r="AE392" s="1411">
        <v>30</v>
      </c>
      <c r="AF392" s="1411">
        <f t="shared" si="35"/>
        <v>0</v>
      </c>
      <c r="AG392" s="1412" t="e">
        <f t="shared" si="36"/>
        <v>#NUM!</v>
      </c>
      <c r="AH392" s="1415"/>
      <c r="AI392" s="1434"/>
      <c r="AJ392" s="1414"/>
    </row>
    <row r="393" spans="26:36" ht="15">
      <c r="Z393" s="1411">
        <v>328</v>
      </c>
      <c r="AA393" s="1417" t="s">
        <v>2491</v>
      </c>
      <c r="AB393" s="1419" t="e">
        <f t="shared" si="37"/>
        <v>#NUM!</v>
      </c>
      <c r="AC393" s="1418" t="e">
        <f t="shared" si="38"/>
        <v>#NUM!</v>
      </c>
      <c r="AD393" s="1413">
        <f t="shared" si="38"/>
        <v>0</v>
      </c>
      <c r="AE393" s="1411">
        <v>30</v>
      </c>
      <c r="AF393" s="1411">
        <f t="shared" si="35"/>
        <v>0</v>
      </c>
      <c r="AG393" s="1412" t="e">
        <f t="shared" si="36"/>
        <v>#NUM!</v>
      </c>
      <c r="AH393" s="1415"/>
      <c r="AI393" s="1434"/>
      <c r="AJ393" s="1414"/>
    </row>
    <row r="394" spans="26:36" ht="15">
      <c r="Z394" s="1411">
        <v>329</v>
      </c>
      <c r="AA394" s="1417" t="s">
        <v>2491</v>
      </c>
      <c r="AB394" s="1419" t="e">
        <f t="shared" si="37"/>
        <v>#NUM!</v>
      </c>
      <c r="AC394" s="1418" t="e">
        <f t="shared" si="38"/>
        <v>#NUM!</v>
      </c>
      <c r="AD394" s="1413">
        <f t="shared" si="38"/>
        <v>0</v>
      </c>
      <c r="AE394" s="1411">
        <v>30</v>
      </c>
      <c r="AF394" s="1411">
        <f t="shared" si="35"/>
        <v>0</v>
      </c>
      <c r="AG394" s="1412" t="e">
        <f t="shared" si="36"/>
        <v>#NUM!</v>
      </c>
      <c r="AH394" s="1415"/>
      <c r="AI394" s="1434"/>
      <c r="AJ394" s="1414"/>
    </row>
    <row r="395" spans="26:36" ht="15">
      <c r="Z395" s="1411">
        <v>330</v>
      </c>
      <c r="AA395" s="1417" t="s">
        <v>2491</v>
      </c>
      <c r="AB395" s="1419" t="e">
        <f t="shared" si="37"/>
        <v>#NUM!</v>
      </c>
      <c r="AC395" s="1418" t="e">
        <f t="shared" si="38"/>
        <v>#NUM!</v>
      </c>
      <c r="AD395" s="1413">
        <f t="shared" si="38"/>
        <v>0</v>
      </c>
      <c r="AE395" s="1411">
        <v>30</v>
      </c>
      <c r="AF395" s="1411">
        <f t="shared" si="35"/>
        <v>0</v>
      </c>
      <c r="AG395" s="1412" t="e">
        <f t="shared" si="36"/>
        <v>#NUM!</v>
      </c>
      <c r="AH395" s="1415"/>
      <c r="AI395" s="1434"/>
      <c r="AJ395" s="1414"/>
    </row>
    <row r="396" spans="26:36" ht="15">
      <c r="Z396" s="1411">
        <v>331</v>
      </c>
      <c r="AA396" s="1417" t="s">
        <v>2491</v>
      </c>
      <c r="AB396" s="1419" t="e">
        <f t="shared" si="37"/>
        <v>#NUM!</v>
      </c>
      <c r="AC396" s="1418" t="e">
        <f t="shared" si="38"/>
        <v>#NUM!</v>
      </c>
      <c r="AD396" s="1413">
        <f t="shared" si="38"/>
        <v>0</v>
      </c>
      <c r="AE396" s="1411">
        <v>30</v>
      </c>
      <c r="AF396" s="1411">
        <f t="shared" si="35"/>
        <v>0</v>
      </c>
      <c r="AG396" s="1412" t="e">
        <f t="shared" si="36"/>
        <v>#NUM!</v>
      </c>
      <c r="AH396" s="1415"/>
      <c r="AI396" s="1434"/>
      <c r="AJ396" s="1414"/>
    </row>
    <row r="397" spans="26:36" ht="15">
      <c r="Z397" s="1411">
        <v>332</v>
      </c>
      <c r="AA397" s="1417" t="s">
        <v>2491</v>
      </c>
      <c r="AB397" s="1419" t="e">
        <f t="shared" si="37"/>
        <v>#NUM!</v>
      </c>
      <c r="AC397" s="1418" t="e">
        <f t="shared" si="38"/>
        <v>#NUM!</v>
      </c>
      <c r="AD397" s="1413">
        <f t="shared" si="38"/>
        <v>0</v>
      </c>
      <c r="AE397" s="1411">
        <v>30</v>
      </c>
      <c r="AF397" s="1411">
        <f t="shared" si="35"/>
        <v>0</v>
      </c>
      <c r="AG397" s="1412" t="e">
        <f t="shared" si="36"/>
        <v>#NUM!</v>
      </c>
      <c r="AH397" s="1415"/>
      <c r="AI397" s="1434"/>
      <c r="AJ397" s="1414"/>
    </row>
    <row r="398" spans="26:36" ht="15">
      <c r="Z398" s="1411">
        <v>333</v>
      </c>
      <c r="AA398" s="1417" t="s">
        <v>2491</v>
      </c>
      <c r="AB398" s="1419" t="e">
        <f t="shared" si="37"/>
        <v>#NUM!</v>
      </c>
      <c r="AC398" s="1418" t="e">
        <f t="shared" si="38"/>
        <v>#NUM!</v>
      </c>
      <c r="AD398" s="1413">
        <f t="shared" si="38"/>
        <v>0</v>
      </c>
      <c r="AE398" s="1411">
        <v>30</v>
      </c>
      <c r="AF398" s="1411">
        <f t="shared" si="35"/>
        <v>0</v>
      </c>
      <c r="AG398" s="1412" t="e">
        <f t="shared" si="36"/>
        <v>#NUM!</v>
      </c>
      <c r="AH398" s="1415"/>
      <c r="AI398" s="1434"/>
      <c r="AJ398" s="1414"/>
    </row>
    <row r="399" spans="26:36" ht="15">
      <c r="Z399" s="1411">
        <v>334</v>
      </c>
      <c r="AA399" s="1417" t="s">
        <v>2491</v>
      </c>
      <c r="AB399" s="1419" t="e">
        <f t="shared" si="37"/>
        <v>#NUM!</v>
      </c>
      <c r="AC399" s="1418" t="e">
        <f t="shared" si="38"/>
        <v>#NUM!</v>
      </c>
      <c r="AD399" s="1413">
        <f t="shared" si="38"/>
        <v>0</v>
      </c>
      <c r="AE399" s="1411">
        <v>30</v>
      </c>
      <c r="AF399" s="1411">
        <f t="shared" si="35"/>
        <v>0</v>
      </c>
      <c r="AG399" s="1412" t="e">
        <f t="shared" si="36"/>
        <v>#NUM!</v>
      </c>
      <c r="AH399" s="1415"/>
      <c r="AI399" s="1434"/>
      <c r="AJ399" s="1414"/>
    </row>
    <row r="400" spans="26:36" ht="15">
      <c r="Z400" s="1411">
        <v>335</v>
      </c>
      <c r="AA400" s="1417" t="s">
        <v>2491</v>
      </c>
      <c r="AB400" s="1419" t="e">
        <f t="shared" si="37"/>
        <v>#NUM!</v>
      </c>
      <c r="AC400" s="1418" t="e">
        <f t="shared" si="38"/>
        <v>#NUM!</v>
      </c>
      <c r="AD400" s="1413">
        <f t="shared" si="38"/>
        <v>0</v>
      </c>
      <c r="AE400" s="1411">
        <v>30</v>
      </c>
      <c r="AF400" s="1411">
        <f t="shared" si="35"/>
        <v>0</v>
      </c>
      <c r="AG400" s="1412" t="e">
        <f t="shared" si="36"/>
        <v>#NUM!</v>
      </c>
      <c r="AH400" s="1415"/>
      <c r="AI400" s="1434"/>
      <c r="AJ400" s="1414"/>
    </row>
    <row r="401" spans="26:36" ht="15">
      <c r="Z401" s="1411">
        <v>336</v>
      </c>
      <c r="AA401" s="1417" t="s">
        <v>2491</v>
      </c>
      <c r="AB401" s="1419" t="e">
        <f t="shared" si="37"/>
        <v>#NUM!</v>
      </c>
      <c r="AC401" s="1418" t="e">
        <f t="shared" si="38"/>
        <v>#NUM!</v>
      </c>
      <c r="AD401" s="1413">
        <f t="shared" si="38"/>
        <v>0</v>
      </c>
      <c r="AE401" s="1411">
        <v>30</v>
      </c>
      <c r="AF401" s="1411">
        <f t="shared" si="35"/>
        <v>0</v>
      </c>
      <c r="AG401" s="1412" t="e">
        <f t="shared" si="36"/>
        <v>#NUM!</v>
      </c>
      <c r="AH401" s="1415"/>
      <c r="AI401" s="1434"/>
      <c r="AJ401" s="1414"/>
    </row>
    <row r="402" spans="26:36" ht="15">
      <c r="Z402" s="1411">
        <v>337</v>
      </c>
      <c r="AA402" s="1417" t="s">
        <v>2491</v>
      </c>
      <c r="AB402" s="1419" t="e">
        <f t="shared" si="37"/>
        <v>#NUM!</v>
      </c>
      <c r="AC402" s="1418" t="e">
        <f t="shared" si="38"/>
        <v>#NUM!</v>
      </c>
      <c r="AD402" s="1413">
        <f t="shared" si="38"/>
        <v>0</v>
      </c>
      <c r="AE402" s="1411">
        <v>30</v>
      </c>
      <c r="AF402" s="1411">
        <f t="shared" si="35"/>
        <v>0</v>
      </c>
      <c r="AG402" s="1412" t="e">
        <f t="shared" si="36"/>
        <v>#NUM!</v>
      </c>
      <c r="AH402" s="1415" t="e">
        <f>MAX(0,AB402*0.005)</f>
        <v>#NUM!</v>
      </c>
      <c r="AI402" s="1434">
        <v>29</v>
      </c>
      <c r="AJ402" s="1414"/>
    </row>
    <row r="403" spans="26:36" ht="15">
      <c r="Z403" s="1411">
        <v>338</v>
      </c>
      <c r="AA403" s="1417" t="s">
        <v>2491</v>
      </c>
      <c r="AB403" s="1419" t="e">
        <f t="shared" si="37"/>
        <v>#NUM!</v>
      </c>
      <c r="AC403" s="1418" t="e">
        <f t="shared" si="38"/>
        <v>#NUM!</v>
      </c>
      <c r="AD403" s="1413">
        <f t="shared" si="38"/>
        <v>0</v>
      </c>
      <c r="AE403" s="1411">
        <v>30</v>
      </c>
      <c r="AF403" s="1411">
        <f t="shared" si="35"/>
        <v>0</v>
      </c>
      <c r="AG403" s="1412" t="e">
        <f t="shared" si="36"/>
        <v>#NUM!</v>
      </c>
      <c r="AH403" s="1415"/>
      <c r="AI403" s="1434"/>
      <c r="AJ403" s="1414"/>
    </row>
    <row r="404" spans="26:36" ht="15">
      <c r="Z404" s="1411">
        <v>339</v>
      </c>
      <c r="AA404" s="1417" t="s">
        <v>2491</v>
      </c>
      <c r="AB404" s="1419" t="e">
        <f t="shared" si="37"/>
        <v>#NUM!</v>
      </c>
      <c r="AC404" s="1418" t="e">
        <f t="shared" ref="AC404:AD419" si="39">+AC403</f>
        <v>#NUM!</v>
      </c>
      <c r="AD404" s="1413">
        <f t="shared" si="39"/>
        <v>0</v>
      </c>
      <c r="AE404" s="1411">
        <v>30</v>
      </c>
      <c r="AF404" s="1411">
        <f t="shared" si="35"/>
        <v>0</v>
      </c>
      <c r="AG404" s="1412" t="e">
        <f t="shared" si="36"/>
        <v>#NUM!</v>
      </c>
      <c r="AH404" s="1415"/>
      <c r="AI404" s="1434"/>
      <c r="AJ404" s="1414"/>
    </row>
    <row r="405" spans="26:36" ht="15">
      <c r="Z405" s="1411">
        <v>340</v>
      </c>
      <c r="AA405" s="1417" t="s">
        <v>2491</v>
      </c>
      <c r="AB405" s="1419" t="e">
        <f t="shared" si="37"/>
        <v>#NUM!</v>
      </c>
      <c r="AC405" s="1418" t="e">
        <f t="shared" si="39"/>
        <v>#NUM!</v>
      </c>
      <c r="AD405" s="1413">
        <f t="shared" si="39"/>
        <v>0</v>
      </c>
      <c r="AE405" s="1411">
        <v>30</v>
      </c>
      <c r="AF405" s="1411">
        <f t="shared" si="35"/>
        <v>0</v>
      </c>
      <c r="AG405" s="1412" t="e">
        <f t="shared" si="36"/>
        <v>#NUM!</v>
      </c>
      <c r="AH405" s="1415"/>
      <c r="AI405" s="1434"/>
      <c r="AJ405" s="1414"/>
    </row>
    <row r="406" spans="26:36" ht="15">
      <c r="Z406" s="1411">
        <v>341</v>
      </c>
      <c r="AA406" s="1417" t="s">
        <v>2491</v>
      </c>
      <c r="AB406" s="1419" t="e">
        <f t="shared" si="37"/>
        <v>#NUM!</v>
      </c>
      <c r="AC406" s="1418" t="e">
        <f t="shared" si="39"/>
        <v>#NUM!</v>
      </c>
      <c r="AD406" s="1413">
        <f t="shared" si="39"/>
        <v>0</v>
      </c>
      <c r="AE406" s="1411">
        <v>30</v>
      </c>
      <c r="AF406" s="1411">
        <f t="shared" si="35"/>
        <v>0</v>
      </c>
      <c r="AG406" s="1412" t="e">
        <f t="shared" si="36"/>
        <v>#NUM!</v>
      </c>
      <c r="AH406" s="1415"/>
      <c r="AI406" s="1434"/>
      <c r="AJ406" s="1414"/>
    </row>
    <row r="407" spans="26:36" ht="15">
      <c r="Z407" s="1411">
        <v>342</v>
      </c>
      <c r="AA407" s="1417" t="s">
        <v>2491</v>
      </c>
      <c r="AB407" s="1419" t="e">
        <f t="shared" si="37"/>
        <v>#NUM!</v>
      </c>
      <c r="AC407" s="1418" t="e">
        <f t="shared" si="39"/>
        <v>#NUM!</v>
      </c>
      <c r="AD407" s="1413">
        <f t="shared" si="39"/>
        <v>0</v>
      </c>
      <c r="AE407" s="1411">
        <v>30</v>
      </c>
      <c r="AF407" s="1411">
        <f t="shared" si="35"/>
        <v>0</v>
      </c>
      <c r="AG407" s="1412" t="e">
        <f t="shared" si="36"/>
        <v>#NUM!</v>
      </c>
      <c r="AH407" s="1415"/>
      <c r="AI407" s="1434"/>
      <c r="AJ407" s="1414"/>
    </row>
    <row r="408" spans="26:36" ht="15">
      <c r="Z408" s="1411">
        <v>343</v>
      </c>
      <c r="AA408" s="1417" t="s">
        <v>2491</v>
      </c>
      <c r="AB408" s="1419" t="e">
        <f t="shared" si="37"/>
        <v>#NUM!</v>
      </c>
      <c r="AC408" s="1418" t="e">
        <f t="shared" si="39"/>
        <v>#NUM!</v>
      </c>
      <c r="AD408" s="1413">
        <f t="shared" si="39"/>
        <v>0</v>
      </c>
      <c r="AE408" s="1411">
        <v>30</v>
      </c>
      <c r="AF408" s="1411">
        <f t="shared" si="35"/>
        <v>0</v>
      </c>
      <c r="AG408" s="1412" t="e">
        <f t="shared" si="36"/>
        <v>#NUM!</v>
      </c>
      <c r="AH408" s="1415"/>
      <c r="AI408" s="1434"/>
      <c r="AJ408" s="1414"/>
    </row>
    <row r="409" spans="26:36" ht="15">
      <c r="Z409" s="1411">
        <v>344</v>
      </c>
      <c r="AA409" s="1417" t="s">
        <v>2491</v>
      </c>
      <c r="AB409" s="1419" t="e">
        <f t="shared" si="37"/>
        <v>#NUM!</v>
      </c>
      <c r="AC409" s="1418" t="e">
        <f t="shared" si="39"/>
        <v>#NUM!</v>
      </c>
      <c r="AD409" s="1413">
        <f t="shared" si="39"/>
        <v>0</v>
      </c>
      <c r="AE409" s="1411">
        <v>30</v>
      </c>
      <c r="AF409" s="1411">
        <f t="shared" si="35"/>
        <v>0</v>
      </c>
      <c r="AG409" s="1412" t="e">
        <f t="shared" si="36"/>
        <v>#NUM!</v>
      </c>
      <c r="AH409" s="1415"/>
      <c r="AI409" s="1434"/>
      <c r="AJ409" s="1414"/>
    </row>
    <row r="410" spans="26:36" ht="15">
      <c r="Z410" s="1411">
        <v>345</v>
      </c>
      <c r="AA410" s="1417" t="s">
        <v>2491</v>
      </c>
      <c r="AB410" s="1419" t="e">
        <f t="shared" si="37"/>
        <v>#NUM!</v>
      </c>
      <c r="AC410" s="1418" t="e">
        <f t="shared" si="39"/>
        <v>#NUM!</v>
      </c>
      <c r="AD410" s="1413">
        <f t="shared" si="39"/>
        <v>0</v>
      </c>
      <c r="AE410" s="1411">
        <v>30</v>
      </c>
      <c r="AF410" s="1411">
        <f t="shared" si="35"/>
        <v>0</v>
      </c>
      <c r="AG410" s="1412" t="e">
        <f t="shared" si="36"/>
        <v>#NUM!</v>
      </c>
      <c r="AH410" s="1415"/>
      <c r="AI410" s="1434"/>
      <c r="AJ410" s="1414"/>
    </row>
    <row r="411" spans="26:36" ht="15">
      <c r="Z411" s="1411">
        <v>346</v>
      </c>
      <c r="AA411" s="1417" t="s">
        <v>2491</v>
      </c>
      <c r="AB411" s="1419" t="e">
        <f t="shared" si="37"/>
        <v>#NUM!</v>
      </c>
      <c r="AC411" s="1418" t="e">
        <f t="shared" si="39"/>
        <v>#NUM!</v>
      </c>
      <c r="AD411" s="1413">
        <f t="shared" si="39"/>
        <v>0</v>
      </c>
      <c r="AE411" s="1411">
        <v>30</v>
      </c>
      <c r="AF411" s="1411">
        <f t="shared" si="35"/>
        <v>0</v>
      </c>
      <c r="AG411" s="1412" t="e">
        <f t="shared" si="36"/>
        <v>#NUM!</v>
      </c>
      <c r="AH411" s="1415"/>
      <c r="AI411" s="1434"/>
      <c r="AJ411" s="1414"/>
    </row>
    <row r="412" spans="26:36" ht="15">
      <c r="Z412" s="1411">
        <v>347</v>
      </c>
      <c r="AA412" s="1417" t="s">
        <v>2491</v>
      </c>
      <c r="AB412" s="1419" t="e">
        <f t="shared" si="37"/>
        <v>#NUM!</v>
      </c>
      <c r="AC412" s="1418" t="e">
        <f t="shared" si="39"/>
        <v>#NUM!</v>
      </c>
      <c r="AD412" s="1413">
        <f t="shared" si="39"/>
        <v>0</v>
      </c>
      <c r="AE412" s="1411">
        <v>30</v>
      </c>
      <c r="AF412" s="1411">
        <f t="shared" si="35"/>
        <v>0</v>
      </c>
      <c r="AG412" s="1412" t="e">
        <f t="shared" si="36"/>
        <v>#NUM!</v>
      </c>
      <c r="AH412" s="1415"/>
      <c r="AI412" s="1434"/>
      <c r="AJ412" s="1414"/>
    </row>
    <row r="413" spans="26:36" ht="15">
      <c r="Z413" s="1411">
        <v>348</v>
      </c>
      <c r="AA413" s="1417" t="s">
        <v>2491</v>
      </c>
      <c r="AB413" s="1419" t="e">
        <f t="shared" si="37"/>
        <v>#NUM!</v>
      </c>
      <c r="AC413" s="1418" t="e">
        <f t="shared" si="39"/>
        <v>#NUM!</v>
      </c>
      <c r="AD413" s="1413">
        <f t="shared" si="39"/>
        <v>0</v>
      </c>
      <c r="AE413" s="1411">
        <v>30</v>
      </c>
      <c r="AF413" s="1411">
        <f t="shared" si="35"/>
        <v>0</v>
      </c>
      <c r="AG413" s="1412" t="e">
        <f t="shared" si="36"/>
        <v>#NUM!</v>
      </c>
      <c r="AH413" s="1415"/>
      <c r="AI413" s="1434"/>
      <c r="AJ413" s="1414"/>
    </row>
    <row r="414" spans="26:36" ht="15">
      <c r="Z414" s="1411">
        <v>349</v>
      </c>
      <c r="AA414" s="1417" t="s">
        <v>2491</v>
      </c>
      <c r="AB414" s="1419" t="e">
        <f t="shared" si="37"/>
        <v>#NUM!</v>
      </c>
      <c r="AC414" s="1418" t="e">
        <f t="shared" si="39"/>
        <v>#NUM!</v>
      </c>
      <c r="AD414" s="1413">
        <f t="shared" si="39"/>
        <v>0</v>
      </c>
      <c r="AE414" s="1411">
        <v>30</v>
      </c>
      <c r="AF414" s="1411">
        <f t="shared" si="35"/>
        <v>0</v>
      </c>
      <c r="AG414" s="1412" t="e">
        <f t="shared" si="36"/>
        <v>#NUM!</v>
      </c>
      <c r="AH414" s="1415" t="e">
        <f>MAX(0,AB414*0.005)</f>
        <v>#NUM!</v>
      </c>
      <c r="AI414" s="1434">
        <v>30</v>
      </c>
      <c r="AJ414" s="1414"/>
    </row>
    <row r="415" spans="26:36" ht="15">
      <c r="Z415" s="1411">
        <v>350</v>
      </c>
      <c r="AA415" s="1417" t="s">
        <v>2491</v>
      </c>
      <c r="AB415" s="1419" t="e">
        <f t="shared" si="37"/>
        <v>#NUM!</v>
      </c>
      <c r="AC415" s="1418" t="e">
        <f t="shared" si="39"/>
        <v>#NUM!</v>
      </c>
      <c r="AD415" s="1413">
        <f t="shared" si="39"/>
        <v>0</v>
      </c>
      <c r="AE415" s="1411">
        <v>30</v>
      </c>
      <c r="AF415" s="1411">
        <f t="shared" si="35"/>
        <v>0</v>
      </c>
      <c r="AG415" s="1412" t="e">
        <f t="shared" si="36"/>
        <v>#NUM!</v>
      </c>
      <c r="AH415" s="1415"/>
      <c r="AI415" s="1434"/>
      <c r="AJ415" s="1414"/>
    </row>
    <row r="416" spans="26:36" ht="15">
      <c r="Z416" s="1411">
        <v>351</v>
      </c>
      <c r="AA416" s="1417" t="s">
        <v>2491</v>
      </c>
      <c r="AB416" s="1419" t="e">
        <f t="shared" si="37"/>
        <v>#NUM!</v>
      </c>
      <c r="AC416" s="1418" t="e">
        <f t="shared" si="39"/>
        <v>#NUM!</v>
      </c>
      <c r="AD416" s="1413">
        <f t="shared" si="39"/>
        <v>0</v>
      </c>
      <c r="AE416" s="1411">
        <v>30</v>
      </c>
      <c r="AF416" s="1411">
        <f t="shared" si="35"/>
        <v>0</v>
      </c>
      <c r="AG416" s="1412" t="e">
        <f t="shared" si="36"/>
        <v>#NUM!</v>
      </c>
      <c r="AH416" s="1415"/>
      <c r="AI416" s="1434"/>
      <c r="AJ416" s="1414"/>
    </row>
    <row r="417" spans="26:36" ht="15">
      <c r="Z417" s="1411">
        <v>352</v>
      </c>
      <c r="AA417" s="1417" t="s">
        <v>2491</v>
      </c>
      <c r="AB417" s="1419" t="e">
        <f t="shared" si="37"/>
        <v>#NUM!</v>
      </c>
      <c r="AC417" s="1418" t="e">
        <f t="shared" si="39"/>
        <v>#NUM!</v>
      </c>
      <c r="AD417" s="1413">
        <f t="shared" si="39"/>
        <v>0</v>
      </c>
      <c r="AE417" s="1411">
        <v>30</v>
      </c>
      <c r="AF417" s="1411">
        <f t="shared" si="35"/>
        <v>0</v>
      </c>
      <c r="AG417" s="1412" t="e">
        <f t="shared" si="36"/>
        <v>#NUM!</v>
      </c>
      <c r="AH417" s="1415"/>
      <c r="AI417" s="1434"/>
      <c r="AJ417" s="1414"/>
    </row>
    <row r="418" spans="26:36" ht="15">
      <c r="Z418" s="1411">
        <v>353</v>
      </c>
      <c r="AA418" s="1417" t="s">
        <v>2491</v>
      </c>
      <c r="AB418" s="1419" t="e">
        <f t="shared" si="37"/>
        <v>#NUM!</v>
      </c>
      <c r="AC418" s="1418" t="e">
        <f t="shared" si="39"/>
        <v>#NUM!</v>
      </c>
      <c r="AD418" s="1413">
        <f t="shared" si="39"/>
        <v>0</v>
      </c>
      <c r="AE418" s="1411">
        <v>30</v>
      </c>
      <c r="AF418" s="1411">
        <f t="shared" si="35"/>
        <v>0</v>
      </c>
      <c r="AG418" s="1412" t="e">
        <f t="shared" si="36"/>
        <v>#NUM!</v>
      </c>
      <c r="AH418" s="1415"/>
      <c r="AI418" s="1434"/>
      <c r="AJ418" s="1414"/>
    </row>
    <row r="419" spans="26:36" ht="15">
      <c r="Z419" s="1411">
        <v>354</v>
      </c>
      <c r="AA419" s="1417" t="s">
        <v>2491</v>
      </c>
      <c r="AB419" s="1419" t="e">
        <f t="shared" si="37"/>
        <v>#NUM!</v>
      </c>
      <c r="AC419" s="1418" t="e">
        <f t="shared" si="39"/>
        <v>#NUM!</v>
      </c>
      <c r="AD419" s="1413">
        <f t="shared" si="39"/>
        <v>0</v>
      </c>
      <c r="AE419" s="1411">
        <v>30</v>
      </c>
      <c r="AF419" s="1411">
        <f t="shared" si="35"/>
        <v>0</v>
      </c>
      <c r="AG419" s="1412" t="e">
        <f t="shared" si="36"/>
        <v>#NUM!</v>
      </c>
      <c r="AH419" s="1415"/>
      <c r="AI419" s="1434"/>
      <c r="AJ419" s="1414"/>
    </row>
    <row r="420" spans="26:36" ht="15">
      <c r="Z420" s="1411">
        <v>355</v>
      </c>
      <c r="AA420" s="1417" t="s">
        <v>2491</v>
      </c>
      <c r="AB420" s="1419" t="e">
        <f t="shared" si="37"/>
        <v>#NUM!</v>
      </c>
      <c r="AC420" s="1418" t="e">
        <f t="shared" ref="AC420:AD435" si="40">+AC419</f>
        <v>#NUM!</v>
      </c>
      <c r="AD420" s="1413">
        <f t="shared" si="40"/>
        <v>0</v>
      </c>
      <c r="AE420" s="1411">
        <v>30</v>
      </c>
      <c r="AF420" s="1411">
        <f t="shared" si="35"/>
        <v>0</v>
      </c>
      <c r="AG420" s="1412" t="e">
        <f t="shared" si="36"/>
        <v>#NUM!</v>
      </c>
      <c r="AH420" s="1415"/>
      <c r="AI420" s="1434"/>
      <c r="AJ420" s="1414"/>
    </row>
    <row r="421" spans="26:36" ht="15">
      <c r="Z421" s="1411">
        <v>356</v>
      </c>
      <c r="AA421" s="1417" t="s">
        <v>2491</v>
      </c>
      <c r="AB421" s="1419" t="e">
        <f t="shared" si="37"/>
        <v>#NUM!</v>
      </c>
      <c r="AC421" s="1418" t="e">
        <f t="shared" si="40"/>
        <v>#NUM!</v>
      </c>
      <c r="AD421" s="1413">
        <f t="shared" si="40"/>
        <v>0</v>
      </c>
      <c r="AE421" s="1411">
        <v>30</v>
      </c>
      <c r="AF421" s="1411">
        <f t="shared" si="35"/>
        <v>0</v>
      </c>
      <c r="AG421" s="1412" t="e">
        <f t="shared" si="36"/>
        <v>#NUM!</v>
      </c>
      <c r="AH421" s="1415"/>
      <c r="AI421" s="1434"/>
      <c r="AJ421" s="1414"/>
    </row>
    <row r="422" spans="26:36" ht="15">
      <c r="Z422" s="1411">
        <v>357</v>
      </c>
      <c r="AA422" s="1417" t="s">
        <v>2491</v>
      </c>
      <c r="AB422" s="1419" t="e">
        <f t="shared" si="37"/>
        <v>#NUM!</v>
      </c>
      <c r="AC422" s="1418" t="e">
        <f t="shared" si="40"/>
        <v>#NUM!</v>
      </c>
      <c r="AD422" s="1413">
        <f t="shared" si="40"/>
        <v>0</v>
      </c>
      <c r="AE422" s="1411">
        <v>30</v>
      </c>
      <c r="AF422" s="1411">
        <f t="shared" si="35"/>
        <v>0</v>
      </c>
      <c r="AG422" s="1412" t="e">
        <f t="shared" si="36"/>
        <v>#NUM!</v>
      </c>
      <c r="AH422" s="1415"/>
      <c r="AI422" s="1434"/>
      <c r="AJ422" s="1414"/>
    </row>
    <row r="423" spans="26:36" ht="15">
      <c r="Z423" s="1411">
        <v>358</v>
      </c>
      <c r="AA423" s="1417" t="s">
        <v>2491</v>
      </c>
      <c r="AB423" s="1419" t="e">
        <f t="shared" si="37"/>
        <v>#NUM!</v>
      </c>
      <c r="AC423" s="1418" t="e">
        <f t="shared" si="40"/>
        <v>#NUM!</v>
      </c>
      <c r="AD423" s="1413">
        <f t="shared" si="40"/>
        <v>0</v>
      </c>
      <c r="AE423" s="1411">
        <v>30</v>
      </c>
      <c r="AF423" s="1411">
        <f t="shared" si="35"/>
        <v>0</v>
      </c>
      <c r="AG423" s="1412" t="e">
        <f t="shared" si="36"/>
        <v>#NUM!</v>
      </c>
      <c r="AH423" s="1415"/>
      <c r="AI423" s="1434"/>
      <c r="AJ423" s="1414"/>
    </row>
    <row r="424" spans="26:36" ht="15">
      <c r="Z424" s="1411">
        <v>359</v>
      </c>
      <c r="AA424" s="1417" t="s">
        <v>2491</v>
      </c>
      <c r="AB424" s="1419" t="e">
        <f t="shared" si="37"/>
        <v>#NUM!</v>
      </c>
      <c r="AC424" s="1418" t="e">
        <f t="shared" si="40"/>
        <v>#NUM!</v>
      </c>
      <c r="AD424" s="1413">
        <f t="shared" si="40"/>
        <v>0</v>
      </c>
      <c r="AE424" s="1411">
        <v>30</v>
      </c>
      <c r="AF424" s="1411">
        <f t="shared" si="35"/>
        <v>0</v>
      </c>
      <c r="AG424" s="1412" t="e">
        <f t="shared" si="36"/>
        <v>#NUM!</v>
      </c>
      <c r="AH424" s="1415"/>
      <c r="AI424" s="1434"/>
      <c r="AJ424" s="1414"/>
    </row>
    <row r="425" spans="26:36" ht="15">
      <c r="Z425" s="1411">
        <v>360</v>
      </c>
      <c r="AA425" s="1417" t="s">
        <v>2491</v>
      </c>
      <c r="AB425" s="1419" t="e">
        <f t="shared" si="37"/>
        <v>#NUM!</v>
      </c>
      <c r="AC425" s="1418" t="e">
        <f t="shared" si="40"/>
        <v>#NUM!</v>
      </c>
      <c r="AD425" s="1413">
        <f t="shared" si="40"/>
        <v>0</v>
      </c>
      <c r="AE425" s="1411">
        <v>30</v>
      </c>
      <c r="AF425" s="1411">
        <f t="shared" si="35"/>
        <v>0</v>
      </c>
      <c r="AG425" s="1412" t="e">
        <f t="shared" si="36"/>
        <v>#NUM!</v>
      </c>
      <c r="AH425" s="1415"/>
      <c r="AI425" s="1434"/>
      <c r="AJ425" s="1414"/>
    </row>
    <row r="426" spans="26:36" ht="15">
      <c r="Z426" s="1411">
        <v>361</v>
      </c>
      <c r="AA426" s="1417" t="s">
        <v>2491</v>
      </c>
      <c r="AB426" s="1419" t="e">
        <f t="shared" si="37"/>
        <v>#NUM!</v>
      </c>
      <c r="AC426" s="1418" t="e">
        <f t="shared" si="40"/>
        <v>#NUM!</v>
      </c>
      <c r="AD426" s="1413">
        <f t="shared" si="40"/>
        <v>0</v>
      </c>
      <c r="AE426" s="1411">
        <v>30</v>
      </c>
      <c r="AF426" s="1411">
        <f t="shared" si="35"/>
        <v>0</v>
      </c>
      <c r="AG426" s="1412" t="e">
        <f t="shared" si="36"/>
        <v>#NUM!</v>
      </c>
      <c r="AH426" s="1415"/>
      <c r="AI426" s="1434"/>
      <c r="AJ426" s="1414"/>
    </row>
    <row r="427" spans="26:36" ht="15">
      <c r="Z427" s="1411">
        <v>362</v>
      </c>
      <c r="AA427" s="1417" t="s">
        <v>2491</v>
      </c>
      <c r="AB427" s="1419" t="e">
        <f t="shared" si="37"/>
        <v>#NUM!</v>
      </c>
      <c r="AC427" s="1418" t="e">
        <f t="shared" si="40"/>
        <v>#NUM!</v>
      </c>
      <c r="AD427" s="1413">
        <f t="shared" si="40"/>
        <v>0</v>
      </c>
      <c r="AE427" s="1411">
        <v>30</v>
      </c>
      <c r="AF427" s="1411">
        <f t="shared" si="35"/>
        <v>0</v>
      </c>
      <c r="AG427" s="1412" t="e">
        <f t="shared" si="36"/>
        <v>#NUM!</v>
      </c>
      <c r="AH427" s="1415"/>
      <c r="AI427" s="1434"/>
      <c r="AJ427" s="1414"/>
    </row>
    <row r="428" spans="26:36" ht="15">
      <c r="Z428" s="1411">
        <v>363</v>
      </c>
      <c r="AA428" s="1417" t="s">
        <v>2491</v>
      </c>
      <c r="AB428" s="1419" t="e">
        <f t="shared" si="37"/>
        <v>#NUM!</v>
      </c>
      <c r="AC428" s="1418" t="e">
        <f t="shared" si="40"/>
        <v>#NUM!</v>
      </c>
      <c r="AD428" s="1413">
        <f t="shared" si="40"/>
        <v>0</v>
      </c>
      <c r="AE428" s="1411">
        <v>30</v>
      </c>
      <c r="AF428" s="1411">
        <f t="shared" si="35"/>
        <v>0</v>
      </c>
      <c r="AG428" s="1412" t="e">
        <f t="shared" si="36"/>
        <v>#NUM!</v>
      </c>
      <c r="AH428" s="1415"/>
      <c r="AI428" s="1434"/>
      <c r="AJ428" s="1414"/>
    </row>
    <row r="429" spans="26:36" ht="15">
      <c r="Z429" s="1411">
        <v>364</v>
      </c>
      <c r="AA429" s="1417" t="s">
        <v>2491</v>
      </c>
      <c r="AB429" s="1419" t="e">
        <f t="shared" si="37"/>
        <v>#NUM!</v>
      </c>
      <c r="AC429" s="1418" t="e">
        <f t="shared" si="40"/>
        <v>#NUM!</v>
      </c>
      <c r="AD429" s="1413">
        <f t="shared" si="40"/>
        <v>0</v>
      </c>
      <c r="AE429" s="1411">
        <v>30</v>
      </c>
      <c r="AF429" s="1411">
        <f t="shared" si="35"/>
        <v>0</v>
      </c>
      <c r="AG429" s="1412" t="e">
        <f t="shared" si="36"/>
        <v>#NUM!</v>
      </c>
      <c r="AH429" s="1415"/>
      <c r="AI429" s="1434"/>
      <c r="AJ429" s="1414"/>
    </row>
    <row r="430" spans="26:36" ht="15">
      <c r="Z430" s="1411">
        <v>365</v>
      </c>
      <c r="AA430" s="1417" t="s">
        <v>2491</v>
      </c>
      <c r="AB430" s="1419" t="e">
        <f t="shared" si="37"/>
        <v>#NUM!</v>
      </c>
      <c r="AC430" s="1418" t="e">
        <f t="shared" si="40"/>
        <v>#NUM!</v>
      </c>
      <c r="AD430" s="1413">
        <f t="shared" si="40"/>
        <v>0</v>
      </c>
      <c r="AE430" s="1411">
        <v>30</v>
      </c>
      <c r="AF430" s="1411">
        <f t="shared" si="35"/>
        <v>0</v>
      </c>
      <c r="AG430" s="1412" t="e">
        <f t="shared" si="36"/>
        <v>#NUM!</v>
      </c>
      <c r="AH430" s="1415"/>
      <c r="AI430" s="1434"/>
      <c r="AJ430" s="1414"/>
    </row>
    <row r="431" spans="26:36" ht="15">
      <c r="Z431" s="1411">
        <v>366</v>
      </c>
      <c r="AA431" s="1417" t="s">
        <v>2491</v>
      </c>
      <c r="AB431" s="1419" t="e">
        <f t="shared" si="37"/>
        <v>#NUM!</v>
      </c>
      <c r="AC431" s="1418" t="e">
        <f t="shared" si="40"/>
        <v>#NUM!</v>
      </c>
      <c r="AD431" s="1413">
        <f t="shared" si="40"/>
        <v>0</v>
      </c>
      <c r="AE431" s="1411">
        <v>30</v>
      </c>
      <c r="AF431" s="1411">
        <f t="shared" si="35"/>
        <v>0</v>
      </c>
      <c r="AG431" s="1412" t="e">
        <f t="shared" si="36"/>
        <v>#NUM!</v>
      </c>
      <c r="AH431" s="1415"/>
      <c r="AI431" s="1434"/>
      <c r="AJ431" s="1414"/>
    </row>
    <row r="432" spans="26:36" ht="15">
      <c r="Z432" s="1411">
        <v>367</v>
      </c>
      <c r="AA432" s="1417" t="s">
        <v>2491</v>
      </c>
      <c r="AB432" s="1419" t="e">
        <f t="shared" si="37"/>
        <v>#NUM!</v>
      </c>
      <c r="AC432" s="1418" t="e">
        <f t="shared" si="40"/>
        <v>#NUM!</v>
      </c>
      <c r="AD432" s="1413">
        <f t="shared" si="40"/>
        <v>0</v>
      </c>
      <c r="AE432" s="1411">
        <v>30</v>
      </c>
      <c r="AF432" s="1411">
        <f t="shared" si="35"/>
        <v>0</v>
      </c>
      <c r="AG432" s="1412" t="e">
        <f t="shared" si="36"/>
        <v>#NUM!</v>
      </c>
      <c r="AH432" s="1415"/>
      <c r="AI432" s="1434"/>
      <c r="AJ432" s="1414"/>
    </row>
    <row r="433" spans="26:36" ht="15">
      <c r="Z433" s="1411">
        <v>368</v>
      </c>
      <c r="AA433" s="1417" t="s">
        <v>2491</v>
      </c>
      <c r="AB433" s="1419" t="e">
        <f t="shared" si="37"/>
        <v>#NUM!</v>
      </c>
      <c r="AC433" s="1418" t="e">
        <f t="shared" si="40"/>
        <v>#NUM!</v>
      </c>
      <c r="AD433" s="1413">
        <f t="shared" si="40"/>
        <v>0</v>
      </c>
      <c r="AE433" s="1411">
        <v>30</v>
      </c>
      <c r="AF433" s="1411">
        <f t="shared" si="35"/>
        <v>0</v>
      </c>
      <c r="AG433" s="1412" t="e">
        <f t="shared" si="36"/>
        <v>#NUM!</v>
      </c>
      <c r="AH433" s="1415"/>
      <c r="AI433" s="1434"/>
      <c r="AJ433" s="1414"/>
    </row>
    <row r="434" spans="26:36" ht="15">
      <c r="Z434" s="1411">
        <v>369</v>
      </c>
      <c r="AA434" s="1417" t="s">
        <v>2491</v>
      </c>
      <c r="AB434" s="1419" t="e">
        <f t="shared" si="37"/>
        <v>#NUM!</v>
      </c>
      <c r="AC434" s="1418" t="e">
        <f t="shared" si="40"/>
        <v>#NUM!</v>
      </c>
      <c r="AD434" s="1413">
        <f t="shared" si="40"/>
        <v>0</v>
      </c>
      <c r="AE434" s="1411">
        <v>30</v>
      </c>
      <c r="AF434" s="1411">
        <f t="shared" si="35"/>
        <v>0</v>
      </c>
      <c r="AG434" s="1412" t="e">
        <f t="shared" si="36"/>
        <v>#NUM!</v>
      </c>
      <c r="AH434" s="1415"/>
      <c r="AI434" s="1434"/>
      <c r="AJ434" s="1414"/>
    </row>
    <row r="435" spans="26:36" ht="15">
      <c r="Z435" s="1411">
        <v>370</v>
      </c>
      <c r="AA435" s="1417" t="s">
        <v>2491</v>
      </c>
      <c r="AB435" s="1419" t="e">
        <f t="shared" si="37"/>
        <v>#NUM!</v>
      </c>
      <c r="AC435" s="1418" t="e">
        <f t="shared" si="40"/>
        <v>#NUM!</v>
      </c>
      <c r="AD435" s="1413">
        <f t="shared" si="40"/>
        <v>0</v>
      </c>
      <c r="AE435" s="1411">
        <v>30</v>
      </c>
      <c r="AF435" s="1411">
        <f t="shared" si="35"/>
        <v>0</v>
      </c>
      <c r="AG435" s="1412" t="e">
        <f t="shared" si="36"/>
        <v>#NUM!</v>
      </c>
      <c r="AH435" s="1415"/>
      <c r="AI435" s="1434"/>
      <c r="AJ435" s="1414"/>
    </row>
    <row r="436" spans="26:36" ht="15">
      <c r="Z436" s="1411">
        <v>371</v>
      </c>
      <c r="AA436" s="1417" t="s">
        <v>2491</v>
      </c>
      <c r="AB436" s="1419" t="e">
        <f t="shared" si="37"/>
        <v>#NUM!</v>
      </c>
      <c r="AC436" s="1418" t="e">
        <f t="shared" ref="AC436:AD451" si="41">+AC435</f>
        <v>#NUM!</v>
      </c>
      <c r="AD436" s="1413">
        <f t="shared" si="41"/>
        <v>0</v>
      </c>
      <c r="AE436" s="1411">
        <v>30</v>
      </c>
      <c r="AF436" s="1411">
        <f t="shared" si="35"/>
        <v>0</v>
      </c>
      <c r="AG436" s="1412" t="e">
        <f t="shared" si="36"/>
        <v>#NUM!</v>
      </c>
      <c r="AH436" s="1415"/>
      <c r="AI436" s="1434"/>
      <c r="AJ436" s="1414"/>
    </row>
    <row r="437" spans="26:36" ht="15">
      <c r="Z437" s="1411">
        <v>372</v>
      </c>
      <c r="AA437" s="1417" t="s">
        <v>2491</v>
      </c>
      <c r="AB437" s="1419" t="e">
        <f t="shared" si="37"/>
        <v>#NUM!</v>
      </c>
      <c r="AC437" s="1418" t="e">
        <f t="shared" si="41"/>
        <v>#NUM!</v>
      </c>
      <c r="AD437" s="1413">
        <f t="shared" si="41"/>
        <v>0</v>
      </c>
      <c r="AE437" s="1411">
        <v>30</v>
      </c>
      <c r="AF437" s="1411">
        <f t="shared" si="35"/>
        <v>0</v>
      </c>
      <c r="AG437" s="1412" t="e">
        <f t="shared" si="36"/>
        <v>#NUM!</v>
      </c>
      <c r="AH437" s="1415"/>
      <c r="AI437" s="1434"/>
      <c r="AJ437" s="1414"/>
    </row>
    <row r="438" spans="26:36" ht="15">
      <c r="Z438" s="1411">
        <v>373</v>
      </c>
      <c r="AA438" s="1417" t="s">
        <v>2491</v>
      </c>
      <c r="AB438" s="1419" t="e">
        <f t="shared" si="37"/>
        <v>#NUM!</v>
      </c>
      <c r="AC438" s="1418" t="e">
        <f t="shared" si="41"/>
        <v>#NUM!</v>
      </c>
      <c r="AD438" s="1413">
        <f t="shared" si="41"/>
        <v>0</v>
      </c>
      <c r="AE438" s="1411">
        <v>30</v>
      </c>
      <c r="AF438" s="1411">
        <f t="shared" si="35"/>
        <v>0</v>
      </c>
      <c r="AG438" s="1412" t="e">
        <f t="shared" si="36"/>
        <v>#NUM!</v>
      </c>
      <c r="AH438" s="1415"/>
      <c r="AI438" s="1434"/>
      <c r="AJ438" s="1414"/>
    </row>
    <row r="439" spans="26:36" ht="15">
      <c r="Z439" s="1411">
        <v>374</v>
      </c>
      <c r="AA439" s="1417" t="s">
        <v>2491</v>
      </c>
      <c r="AB439" s="1419" t="e">
        <f t="shared" si="37"/>
        <v>#NUM!</v>
      </c>
      <c r="AC439" s="1418" t="e">
        <f t="shared" si="41"/>
        <v>#NUM!</v>
      </c>
      <c r="AD439" s="1413">
        <f t="shared" si="41"/>
        <v>0</v>
      </c>
      <c r="AE439" s="1411">
        <v>30</v>
      </c>
      <c r="AF439" s="1411">
        <f t="shared" si="35"/>
        <v>0</v>
      </c>
      <c r="AG439" s="1412" t="e">
        <f t="shared" si="36"/>
        <v>#NUM!</v>
      </c>
      <c r="AH439" s="1415"/>
      <c r="AI439" s="1434"/>
      <c r="AJ439" s="1414"/>
    </row>
    <row r="440" spans="26:36" ht="15">
      <c r="Z440" s="1411">
        <v>375</v>
      </c>
      <c r="AA440" s="1417" t="s">
        <v>2491</v>
      </c>
      <c r="AB440" s="1419" t="e">
        <f t="shared" si="37"/>
        <v>#NUM!</v>
      </c>
      <c r="AC440" s="1418" t="e">
        <f t="shared" si="41"/>
        <v>#NUM!</v>
      </c>
      <c r="AD440" s="1413">
        <f t="shared" si="41"/>
        <v>0</v>
      </c>
      <c r="AE440" s="1411">
        <v>30</v>
      </c>
      <c r="AF440" s="1411">
        <f t="shared" si="35"/>
        <v>0</v>
      </c>
      <c r="AG440" s="1412" t="e">
        <f t="shared" si="36"/>
        <v>#NUM!</v>
      </c>
      <c r="AH440" s="1415"/>
      <c r="AI440" s="1434"/>
      <c r="AJ440" s="1414"/>
    </row>
    <row r="441" spans="26:36" ht="15">
      <c r="Z441" s="1411">
        <v>376</v>
      </c>
      <c r="AA441" s="1417" t="s">
        <v>2491</v>
      </c>
      <c r="AB441" s="1419" t="e">
        <f t="shared" si="37"/>
        <v>#NUM!</v>
      </c>
      <c r="AC441" s="1418" t="e">
        <f t="shared" si="41"/>
        <v>#NUM!</v>
      </c>
      <c r="AD441" s="1413">
        <f t="shared" si="41"/>
        <v>0</v>
      </c>
      <c r="AE441" s="1411">
        <v>30</v>
      </c>
      <c r="AF441" s="1411">
        <f t="shared" si="35"/>
        <v>0</v>
      </c>
      <c r="AG441" s="1412" t="e">
        <f t="shared" si="36"/>
        <v>#NUM!</v>
      </c>
      <c r="AH441" s="1415"/>
      <c r="AI441" s="1434"/>
      <c r="AJ441" s="1414"/>
    </row>
    <row r="442" spans="26:36" ht="15">
      <c r="Z442" s="1411">
        <v>377</v>
      </c>
      <c r="AA442" s="1417" t="s">
        <v>2491</v>
      </c>
      <c r="AB442" s="1419" t="e">
        <f t="shared" si="37"/>
        <v>#NUM!</v>
      </c>
      <c r="AC442" s="1418" t="e">
        <f t="shared" si="41"/>
        <v>#NUM!</v>
      </c>
      <c r="AD442" s="1413">
        <f t="shared" si="41"/>
        <v>0</v>
      </c>
      <c r="AE442" s="1411">
        <v>30</v>
      </c>
      <c r="AF442" s="1411">
        <f t="shared" si="35"/>
        <v>0</v>
      </c>
      <c r="AG442" s="1412" t="e">
        <f t="shared" si="36"/>
        <v>#NUM!</v>
      </c>
      <c r="AH442" s="1415"/>
      <c r="AI442" s="1434"/>
      <c r="AJ442" s="1414"/>
    </row>
    <row r="443" spans="26:36" ht="15">
      <c r="Z443" s="1411">
        <v>378</v>
      </c>
      <c r="AA443" s="1417" t="s">
        <v>2491</v>
      </c>
      <c r="AB443" s="1419" t="e">
        <f t="shared" si="37"/>
        <v>#NUM!</v>
      </c>
      <c r="AC443" s="1418" t="e">
        <f t="shared" si="41"/>
        <v>#NUM!</v>
      </c>
      <c r="AD443" s="1413">
        <f t="shared" si="41"/>
        <v>0</v>
      </c>
      <c r="AE443" s="1411">
        <v>30</v>
      </c>
      <c r="AF443" s="1411">
        <f t="shared" si="35"/>
        <v>0</v>
      </c>
      <c r="AG443" s="1412" t="e">
        <f t="shared" si="36"/>
        <v>#NUM!</v>
      </c>
      <c r="AH443" s="1415"/>
      <c r="AI443" s="1434"/>
      <c r="AJ443" s="1414"/>
    </row>
    <row r="444" spans="26:36" ht="15">
      <c r="Z444" s="1411">
        <v>379</v>
      </c>
      <c r="AA444" s="1417" t="s">
        <v>2491</v>
      </c>
      <c r="AB444" s="1419" t="e">
        <f t="shared" si="37"/>
        <v>#NUM!</v>
      </c>
      <c r="AC444" s="1418" t="e">
        <f t="shared" si="41"/>
        <v>#NUM!</v>
      </c>
      <c r="AD444" s="1413">
        <f t="shared" si="41"/>
        <v>0</v>
      </c>
      <c r="AE444" s="1411">
        <v>30</v>
      </c>
      <c r="AF444" s="1411">
        <f t="shared" si="35"/>
        <v>0</v>
      </c>
      <c r="AG444" s="1412" t="e">
        <f t="shared" si="36"/>
        <v>#NUM!</v>
      </c>
      <c r="AH444" s="1415"/>
      <c r="AI444" s="1434"/>
      <c r="AJ444" s="1414"/>
    </row>
    <row r="445" spans="26:36" ht="15">
      <c r="Z445" s="1411">
        <v>380</v>
      </c>
      <c r="AA445" s="1417" t="s">
        <v>2491</v>
      </c>
      <c r="AB445" s="1419" t="e">
        <f t="shared" si="37"/>
        <v>#NUM!</v>
      </c>
      <c r="AC445" s="1418" t="e">
        <f t="shared" si="41"/>
        <v>#NUM!</v>
      </c>
      <c r="AD445" s="1413">
        <f t="shared" si="41"/>
        <v>0</v>
      </c>
      <c r="AE445" s="1411">
        <v>30</v>
      </c>
      <c r="AF445" s="1411">
        <f t="shared" si="35"/>
        <v>0</v>
      </c>
      <c r="AG445" s="1412" t="e">
        <f t="shared" si="36"/>
        <v>#NUM!</v>
      </c>
      <c r="AH445" s="1415"/>
      <c r="AI445" s="1434"/>
      <c r="AJ445" s="1414"/>
    </row>
    <row r="446" spans="26:36" ht="15">
      <c r="Z446" s="1411">
        <v>381</v>
      </c>
      <c r="AA446" s="1417" t="s">
        <v>2491</v>
      </c>
      <c r="AB446" s="1419" t="e">
        <f t="shared" si="37"/>
        <v>#NUM!</v>
      </c>
      <c r="AC446" s="1418" t="e">
        <f t="shared" si="41"/>
        <v>#NUM!</v>
      </c>
      <c r="AD446" s="1413">
        <f t="shared" si="41"/>
        <v>0</v>
      </c>
      <c r="AE446" s="1411">
        <v>30</v>
      </c>
      <c r="AF446" s="1411">
        <f t="shared" si="35"/>
        <v>0</v>
      </c>
      <c r="AG446" s="1412" t="e">
        <f t="shared" si="36"/>
        <v>#NUM!</v>
      </c>
      <c r="AH446" s="1415"/>
      <c r="AI446" s="1434"/>
      <c r="AJ446" s="1414"/>
    </row>
    <row r="447" spans="26:36" ht="15">
      <c r="Z447" s="1411">
        <v>382</v>
      </c>
      <c r="AA447" s="1417" t="s">
        <v>2491</v>
      </c>
      <c r="AB447" s="1419" t="e">
        <f t="shared" si="37"/>
        <v>#NUM!</v>
      </c>
      <c r="AC447" s="1418" t="e">
        <f t="shared" si="41"/>
        <v>#NUM!</v>
      </c>
      <c r="AD447" s="1413">
        <f t="shared" si="41"/>
        <v>0</v>
      </c>
      <c r="AE447" s="1411">
        <v>30</v>
      </c>
      <c r="AF447" s="1411">
        <f t="shared" si="35"/>
        <v>0</v>
      </c>
      <c r="AG447" s="1412" t="e">
        <f t="shared" si="36"/>
        <v>#NUM!</v>
      </c>
      <c r="AH447" s="1415"/>
      <c r="AI447" s="1434"/>
      <c r="AJ447" s="1414"/>
    </row>
    <row r="448" spans="26:36" ht="15">
      <c r="Z448" s="1411">
        <v>383</v>
      </c>
      <c r="AA448" s="1417" t="s">
        <v>2491</v>
      </c>
      <c r="AB448" s="1419" t="e">
        <f t="shared" si="37"/>
        <v>#NUM!</v>
      </c>
      <c r="AC448" s="1418" t="e">
        <f t="shared" si="41"/>
        <v>#NUM!</v>
      </c>
      <c r="AD448" s="1413">
        <f t="shared" si="41"/>
        <v>0</v>
      </c>
      <c r="AE448" s="1411">
        <v>30</v>
      </c>
      <c r="AF448" s="1411">
        <f t="shared" si="35"/>
        <v>0</v>
      </c>
      <c r="AG448" s="1412" t="e">
        <f t="shared" si="36"/>
        <v>#NUM!</v>
      </c>
      <c r="AH448" s="1415"/>
      <c r="AI448" s="1434"/>
      <c r="AJ448" s="1414"/>
    </row>
    <row r="449" spans="26:36" ht="15">
      <c r="Z449" s="1411">
        <v>384</v>
      </c>
      <c r="AA449" s="1417" t="s">
        <v>2491</v>
      </c>
      <c r="AB449" s="1419" t="e">
        <f t="shared" si="37"/>
        <v>#NUM!</v>
      </c>
      <c r="AC449" s="1418" t="e">
        <f t="shared" si="41"/>
        <v>#NUM!</v>
      </c>
      <c r="AD449" s="1413">
        <f t="shared" si="41"/>
        <v>0</v>
      </c>
      <c r="AE449" s="1411">
        <v>30</v>
      </c>
      <c r="AF449" s="1411">
        <f t="shared" si="35"/>
        <v>0</v>
      </c>
      <c r="AG449" s="1412" t="e">
        <f t="shared" si="36"/>
        <v>#NUM!</v>
      </c>
      <c r="AH449" s="1415"/>
      <c r="AI449" s="1434"/>
      <c r="AJ449" s="1414"/>
    </row>
    <row r="450" spans="26:36" ht="15">
      <c r="Z450" s="1411">
        <v>385</v>
      </c>
      <c r="AA450" s="1417" t="s">
        <v>2491</v>
      </c>
      <c r="AB450" s="1419" t="e">
        <f t="shared" si="37"/>
        <v>#NUM!</v>
      </c>
      <c r="AC450" s="1418" t="e">
        <f t="shared" si="41"/>
        <v>#NUM!</v>
      </c>
      <c r="AD450" s="1413">
        <f t="shared" si="41"/>
        <v>0</v>
      </c>
      <c r="AE450" s="1411">
        <v>30</v>
      </c>
      <c r="AF450" s="1411">
        <f t="shared" ref="AF450:AF513" si="42">AD450/360</f>
        <v>0</v>
      </c>
      <c r="AG450" s="1412" t="e">
        <f t="shared" ref="AG450:AG513" si="43">+AB450*AE450*AF450</f>
        <v>#NUM!</v>
      </c>
      <c r="AH450" s="1415"/>
      <c r="AI450" s="1434"/>
      <c r="AJ450" s="1414"/>
    </row>
    <row r="451" spans="26:36" ht="15">
      <c r="Z451" s="1411">
        <v>386</v>
      </c>
      <c r="AA451" s="1417" t="s">
        <v>2491</v>
      </c>
      <c r="AB451" s="1419" t="e">
        <f t="shared" ref="AB451:AB514" si="44">+AB450-AC450+AG450</f>
        <v>#NUM!</v>
      </c>
      <c r="AC451" s="1418" t="e">
        <f t="shared" si="41"/>
        <v>#NUM!</v>
      </c>
      <c r="AD451" s="1413">
        <f t="shared" si="41"/>
        <v>0</v>
      </c>
      <c r="AE451" s="1411">
        <v>30</v>
      </c>
      <c r="AF451" s="1411">
        <f t="shared" si="42"/>
        <v>0</v>
      </c>
      <c r="AG451" s="1412" t="e">
        <f t="shared" si="43"/>
        <v>#NUM!</v>
      </c>
      <c r="AH451" s="1415"/>
      <c r="AI451" s="1434"/>
      <c r="AJ451" s="1414"/>
    </row>
    <row r="452" spans="26:36" ht="15">
      <c r="Z452" s="1411">
        <v>387</v>
      </c>
      <c r="AA452" s="1417" t="s">
        <v>2491</v>
      </c>
      <c r="AB452" s="1419" t="e">
        <f t="shared" si="44"/>
        <v>#NUM!</v>
      </c>
      <c r="AC452" s="1418" t="e">
        <f t="shared" ref="AC452:AD467" si="45">+AC451</f>
        <v>#NUM!</v>
      </c>
      <c r="AD452" s="1413">
        <f t="shared" si="45"/>
        <v>0</v>
      </c>
      <c r="AE452" s="1411">
        <v>30</v>
      </c>
      <c r="AF452" s="1411">
        <f t="shared" si="42"/>
        <v>0</v>
      </c>
      <c r="AG452" s="1412" t="e">
        <f t="shared" si="43"/>
        <v>#NUM!</v>
      </c>
      <c r="AH452" s="1415"/>
      <c r="AI452" s="1434"/>
      <c r="AJ452" s="1414"/>
    </row>
    <row r="453" spans="26:36" ht="15">
      <c r="Z453" s="1411">
        <v>388</v>
      </c>
      <c r="AA453" s="1417" t="s">
        <v>2491</v>
      </c>
      <c r="AB453" s="1419" t="e">
        <f t="shared" si="44"/>
        <v>#NUM!</v>
      </c>
      <c r="AC453" s="1418" t="e">
        <f t="shared" si="45"/>
        <v>#NUM!</v>
      </c>
      <c r="AD453" s="1413">
        <f t="shared" si="45"/>
        <v>0</v>
      </c>
      <c r="AE453" s="1411">
        <v>30</v>
      </c>
      <c r="AF453" s="1411">
        <f t="shared" si="42"/>
        <v>0</v>
      </c>
      <c r="AG453" s="1412" t="e">
        <f t="shared" si="43"/>
        <v>#NUM!</v>
      </c>
      <c r="AH453" s="1415"/>
      <c r="AI453" s="1434"/>
      <c r="AJ453" s="1414"/>
    </row>
    <row r="454" spans="26:36" ht="15">
      <c r="Z454" s="1411">
        <v>389</v>
      </c>
      <c r="AA454" s="1417" t="s">
        <v>2491</v>
      </c>
      <c r="AB454" s="1419" t="e">
        <f t="shared" si="44"/>
        <v>#NUM!</v>
      </c>
      <c r="AC454" s="1418" t="e">
        <f t="shared" si="45"/>
        <v>#NUM!</v>
      </c>
      <c r="AD454" s="1413">
        <f t="shared" si="45"/>
        <v>0</v>
      </c>
      <c r="AE454" s="1411">
        <v>30</v>
      </c>
      <c r="AF454" s="1411">
        <f t="shared" si="42"/>
        <v>0</v>
      </c>
      <c r="AG454" s="1412" t="e">
        <f t="shared" si="43"/>
        <v>#NUM!</v>
      </c>
      <c r="AH454" s="1415"/>
      <c r="AI454" s="1434"/>
      <c r="AJ454" s="1414"/>
    </row>
    <row r="455" spans="26:36" ht="15">
      <c r="Z455" s="1411">
        <v>390</v>
      </c>
      <c r="AA455" s="1417" t="s">
        <v>2491</v>
      </c>
      <c r="AB455" s="1419" t="e">
        <f t="shared" si="44"/>
        <v>#NUM!</v>
      </c>
      <c r="AC455" s="1418" t="e">
        <f t="shared" si="45"/>
        <v>#NUM!</v>
      </c>
      <c r="AD455" s="1413">
        <f t="shared" si="45"/>
        <v>0</v>
      </c>
      <c r="AE455" s="1411">
        <v>30</v>
      </c>
      <c r="AF455" s="1411">
        <f t="shared" si="42"/>
        <v>0</v>
      </c>
      <c r="AG455" s="1412" t="e">
        <f t="shared" si="43"/>
        <v>#NUM!</v>
      </c>
      <c r="AH455" s="1415"/>
      <c r="AI455" s="1434"/>
      <c r="AJ455" s="1414"/>
    </row>
    <row r="456" spans="26:36" ht="15">
      <c r="Z456" s="1411">
        <v>391</v>
      </c>
      <c r="AA456" s="1417" t="s">
        <v>2491</v>
      </c>
      <c r="AB456" s="1419" t="e">
        <f t="shared" si="44"/>
        <v>#NUM!</v>
      </c>
      <c r="AC456" s="1418" t="e">
        <f t="shared" si="45"/>
        <v>#NUM!</v>
      </c>
      <c r="AD456" s="1413">
        <f t="shared" si="45"/>
        <v>0</v>
      </c>
      <c r="AE456" s="1411">
        <v>30</v>
      </c>
      <c r="AF456" s="1411">
        <f t="shared" si="42"/>
        <v>0</v>
      </c>
      <c r="AG456" s="1412" t="e">
        <f t="shared" si="43"/>
        <v>#NUM!</v>
      </c>
      <c r="AH456" s="1415"/>
      <c r="AI456" s="1434"/>
      <c r="AJ456" s="1414"/>
    </row>
    <row r="457" spans="26:36" ht="15">
      <c r="Z457" s="1411">
        <v>392</v>
      </c>
      <c r="AA457" s="1417" t="s">
        <v>2491</v>
      </c>
      <c r="AB457" s="1419" t="e">
        <f t="shared" si="44"/>
        <v>#NUM!</v>
      </c>
      <c r="AC457" s="1418" t="e">
        <f t="shared" si="45"/>
        <v>#NUM!</v>
      </c>
      <c r="AD457" s="1413">
        <f t="shared" si="45"/>
        <v>0</v>
      </c>
      <c r="AE457" s="1411">
        <v>30</v>
      </c>
      <c r="AF457" s="1411">
        <f t="shared" si="42"/>
        <v>0</v>
      </c>
      <c r="AG457" s="1412" t="e">
        <f t="shared" si="43"/>
        <v>#NUM!</v>
      </c>
      <c r="AH457" s="1415"/>
      <c r="AI457" s="1434"/>
      <c r="AJ457" s="1414"/>
    </row>
    <row r="458" spans="26:36" ht="15">
      <c r="Z458" s="1411">
        <v>393</v>
      </c>
      <c r="AA458" s="1417" t="s">
        <v>2491</v>
      </c>
      <c r="AB458" s="1419" t="e">
        <f t="shared" si="44"/>
        <v>#NUM!</v>
      </c>
      <c r="AC458" s="1418" t="e">
        <f t="shared" si="45"/>
        <v>#NUM!</v>
      </c>
      <c r="AD458" s="1413">
        <f t="shared" si="45"/>
        <v>0</v>
      </c>
      <c r="AE458" s="1411">
        <v>30</v>
      </c>
      <c r="AF458" s="1411">
        <f t="shared" si="42"/>
        <v>0</v>
      </c>
      <c r="AG458" s="1412" t="e">
        <f t="shared" si="43"/>
        <v>#NUM!</v>
      </c>
      <c r="AH458" s="1415"/>
      <c r="AI458" s="1434"/>
      <c r="AJ458" s="1414"/>
    </row>
    <row r="459" spans="26:36" ht="15">
      <c r="Z459" s="1411">
        <v>394</v>
      </c>
      <c r="AA459" s="1417" t="s">
        <v>2491</v>
      </c>
      <c r="AB459" s="1419" t="e">
        <f t="shared" si="44"/>
        <v>#NUM!</v>
      </c>
      <c r="AC459" s="1418" t="e">
        <f t="shared" si="45"/>
        <v>#NUM!</v>
      </c>
      <c r="AD459" s="1413">
        <f t="shared" si="45"/>
        <v>0</v>
      </c>
      <c r="AE459" s="1411">
        <v>30</v>
      </c>
      <c r="AF459" s="1411">
        <f t="shared" si="42"/>
        <v>0</v>
      </c>
      <c r="AG459" s="1412" t="e">
        <f t="shared" si="43"/>
        <v>#NUM!</v>
      </c>
      <c r="AH459" s="1415"/>
      <c r="AI459" s="1434"/>
      <c r="AJ459" s="1414"/>
    </row>
    <row r="460" spans="26:36" ht="15">
      <c r="Z460" s="1411">
        <v>395</v>
      </c>
      <c r="AA460" s="1417" t="s">
        <v>2491</v>
      </c>
      <c r="AB460" s="1419" t="e">
        <f t="shared" si="44"/>
        <v>#NUM!</v>
      </c>
      <c r="AC460" s="1418" t="e">
        <f t="shared" si="45"/>
        <v>#NUM!</v>
      </c>
      <c r="AD460" s="1413">
        <f t="shared" si="45"/>
        <v>0</v>
      </c>
      <c r="AE460" s="1411">
        <v>30</v>
      </c>
      <c r="AF460" s="1411">
        <f t="shared" si="42"/>
        <v>0</v>
      </c>
      <c r="AG460" s="1412" t="e">
        <f t="shared" si="43"/>
        <v>#NUM!</v>
      </c>
      <c r="AH460" s="1415"/>
      <c r="AI460" s="1434"/>
      <c r="AJ460" s="1414"/>
    </row>
    <row r="461" spans="26:36" ht="15">
      <c r="Z461" s="1411">
        <v>396</v>
      </c>
      <c r="AA461" s="1417" t="s">
        <v>2491</v>
      </c>
      <c r="AB461" s="1419" t="e">
        <f t="shared" si="44"/>
        <v>#NUM!</v>
      </c>
      <c r="AC461" s="1418" t="e">
        <f t="shared" si="45"/>
        <v>#NUM!</v>
      </c>
      <c r="AD461" s="1413">
        <f t="shared" si="45"/>
        <v>0</v>
      </c>
      <c r="AE461" s="1411">
        <v>30</v>
      </c>
      <c r="AF461" s="1411">
        <f t="shared" si="42"/>
        <v>0</v>
      </c>
      <c r="AG461" s="1412" t="e">
        <f t="shared" si="43"/>
        <v>#NUM!</v>
      </c>
      <c r="AH461" s="1415"/>
      <c r="AI461" s="1434"/>
      <c r="AJ461" s="1414"/>
    </row>
    <row r="462" spans="26:36" ht="15">
      <c r="Z462" s="1411">
        <v>397</v>
      </c>
      <c r="AA462" s="1417" t="s">
        <v>2491</v>
      </c>
      <c r="AB462" s="1419" t="e">
        <f t="shared" si="44"/>
        <v>#NUM!</v>
      </c>
      <c r="AC462" s="1418" t="e">
        <f t="shared" si="45"/>
        <v>#NUM!</v>
      </c>
      <c r="AD462" s="1413">
        <f t="shared" si="45"/>
        <v>0</v>
      </c>
      <c r="AE462" s="1411">
        <v>30</v>
      </c>
      <c r="AF462" s="1411">
        <f t="shared" si="42"/>
        <v>0</v>
      </c>
      <c r="AG462" s="1412" t="e">
        <f t="shared" si="43"/>
        <v>#NUM!</v>
      </c>
      <c r="AH462" s="1415"/>
      <c r="AI462" s="1434"/>
      <c r="AJ462" s="1414"/>
    </row>
    <row r="463" spans="26:36" ht="15">
      <c r="Z463" s="1411">
        <v>398</v>
      </c>
      <c r="AA463" s="1417" t="s">
        <v>2491</v>
      </c>
      <c r="AB463" s="1419" t="e">
        <f t="shared" si="44"/>
        <v>#NUM!</v>
      </c>
      <c r="AC463" s="1418" t="e">
        <f t="shared" si="45"/>
        <v>#NUM!</v>
      </c>
      <c r="AD463" s="1413">
        <f t="shared" si="45"/>
        <v>0</v>
      </c>
      <c r="AE463" s="1411">
        <v>30</v>
      </c>
      <c r="AF463" s="1411">
        <f t="shared" si="42"/>
        <v>0</v>
      </c>
      <c r="AG463" s="1412" t="e">
        <f t="shared" si="43"/>
        <v>#NUM!</v>
      </c>
      <c r="AH463" s="1415"/>
      <c r="AI463" s="1434"/>
      <c r="AJ463" s="1414"/>
    </row>
    <row r="464" spans="26:36" ht="15">
      <c r="Z464" s="1411">
        <v>399</v>
      </c>
      <c r="AA464" s="1417" t="s">
        <v>2491</v>
      </c>
      <c r="AB464" s="1419" t="e">
        <f t="shared" si="44"/>
        <v>#NUM!</v>
      </c>
      <c r="AC464" s="1418" t="e">
        <f t="shared" si="45"/>
        <v>#NUM!</v>
      </c>
      <c r="AD464" s="1413">
        <f t="shared" si="45"/>
        <v>0</v>
      </c>
      <c r="AE464" s="1411">
        <v>30</v>
      </c>
      <c r="AF464" s="1411">
        <f t="shared" si="42"/>
        <v>0</v>
      </c>
      <c r="AG464" s="1412" t="e">
        <f t="shared" si="43"/>
        <v>#NUM!</v>
      </c>
      <c r="AH464" s="1415"/>
      <c r="AI464" s="1434"/>
      <c r="AJ464" s="1414"/>
    </row>
    <row r="465" spans="26:36" ht="15">
      <c r="Z465" s="1411">
        <v>400</v>
      </c>
      <c r="AA465" s="1417" t="s">
        <v>2491</v>
      </c>
      <c r="AB465" s="1419" t="e">
        <f t="shared" si="44"/>
        <v>#NUM!</v>
      </c>
      <c r="AC465" s="1418" t="e">
        <f t="shared" si="45"/>
        <v>#NUM!</v>
      </c>
      <c r="AD465" s="1413">
        <f t="shared" si="45"/>
        <v>0</v>
      </c>
      <c r="AE465" s="1411">
        <v>30</v>
      </c>
      <c r="AF465" s="1411">
        <f t="shared" si="42"/>
        <v>0</v>
      </c>
      <c r="AG465" s="1412" t="e">
        <f t="shared" si="43"/>
        <v>#NUM!</v>
      </c>
      <c r="AH465" s="1415"/>
      <c r="AI465" s="1434"/>
      <c r="AJ465" s="1414"/>
    </row>
    <row r="466" spans="26:36" ht="15">
      <c r="Z466" s="1411">
        <v>401</v>
      </c>
      <c r="AA466" s="1417" t="s">
        <v>2491</v>
      </c>
      <c r="AB466" s="1419" t="e">
        <f t="shared" si="44"/>
        <v>#NUM!</v>
      </c>
      <c r="AC466" s="1418" t="e">
        <f t="shared" si="45"/>
        <v>#NUM!</v>
      </c>
      <c r="AD466" s="1413">
        <f t="shared" si="45"/>
        <v>0</v>
      </c>
      <c r="AE466" s="1411">
        <v>30</v>
      </c>
      <c r="AF466" s="1411">
        <f t="shared" si="42"/>
        <v>0</v>
      </c>
      <c r="AG466" s="1412" t="e">
        <f t="shared" si="43"/>
        <v>#NUM!</v>
      </c>
      <c r="AH466" s="1415"/>
      <c r="AI466" s="1434"/>
      <c r="AJ466" s="1414"/>
    </row>
    <row r="467" spans="26:36" ht="15">
      <c r="Z467" s="1411">
        <v>402</v>
      </c>
      <c r="AA467" s="1417" t="s">
        <v>2491</v>
      </c>
      <c r="AB467" s="1419" t="e">
        <f t="shared" si="44"/>
        <v>#NUM!</v>
      </c>
      <c r="AC467" s="1418" t="e">
        <f t="shared" si="45"/>
        <v>#NUM!</v>
      </c>
      <c r="AD467" s="1413">
        <f t="shared" si="45"/>
        <v>0</v>
      </c>
      <c r="AE467" s="1411">
        <v>30</v>
      </c>
      <c r="AF467" s="1411">
        <f t="shared" si="42"/>
        <v>0</v>
      </c>
      <c r="AG467" s="1412" t="e">
        <f t="shared" si="43"/>
        <v>#NUM!</v>
      </c>
      <c r="AH467" s="1415"/>
      <c r="AI467" s="1434"/>
      <c r="AJ467" s="1414"/>
    </row>
    <row r="468" spans="26:36" ht="15">
      <c r="Z468" s="1411">
        <v>403</v>
      </c>
      <c r="AA468" s="1417" t="s">
        <v>2491</v>
      </c>
      <c r="AB468" s="1419" t="e">
        <f t="shared" si="44"/>
        <v>#NUM!</v>
      </c>
      <c r="AC468" s="1418" t="e">
        <f t="shared" ref="AC468:AD483" si="46">+AC467</f>
        <v>#NUM!</v>
      </c>
      <c r="AD468" s="1413">
        <f t="shared" si="46"/>
        <v>0</v>
      </c>
      <c r="AE468" s="1411">
        <v>30</v>
      </c>
      <c r="AF468" s="1411">
        <f t="shared" si="42"/>
        <v>0</v>
      </c>
      <c r="AG468" s="1412" t="e">
        <f t="shared" si="43"/>
        <v>#NUM!</v>
      </c>
      <c r="AH468" s="1415"/>
      <c r="AI468" s="1434"/>
      <c r="AJ468" s="1414"/>
    </row>
    <row r="469" spans="26:36" ht="15">
      <c r="Z469" s="1411">
        <v>404</v>
      </c>
      <c r="AA469" s="1417" t="s">
        <v>2491</v>
      </c>
      <c r="AB469" s="1419" t="e">
        <f t="shared" si="44"/>
        <v>#NUM!</v>
      </c>
      <c r="AC469" s="1418" t="e">
        <f t="shared" si="46"/>
        <v>#NUM!</v>
      </c>
      <c r="AD469" s="1413">
        <f t="shared" si="46"/>
        <v>0</v>
      </c>
      <c r="AE469" s="1411">
        <v>30</v>
      </c>
      <c r="AF469" s="1411">
        <f t="shared" si="42"/>
        <v>0</v>
      </c>
      <c r="AG469" s="1412" t="e">
        <f t="shared" si="43"/>
        <v>#NUM!</v>
      </c>
      <c r="AH469" s="1415"/>
      <c r="AI469" s="1434"/>
      <c r="AJ469" s="1414"/>
    </row>
    <row r="470" spans="26:36" ht="15">
      <c r="Z470" s="1411">
        <v>405</v>
      </c>
      <c r="AA470" s="1417" t="s">
        <v>2491</v>
      </c>
      <c r="AB470" s="1419" t="e">
        <f t="shared" si="44"/>
        <v>#NUM!</v>
      </c>
      <c r="AC470" s="1418" t="e">
        <f t="shared" si="46"/>
        <v>#NUM!</v>
      </c>
      <c r="AD470" s="1413">
        <f t="shared" si="46"/>
        <v>0</v>
      </c>
      <c r="AE470" s="1411">
        <v>30</v>
      </c>
      <c r="AF470" s="1411">
        <f t="shared" si="42"/>
        <v>0</v>
      </c>
      <c r="AG470" s="1412" t="e">
        <f t="shared" si="43"/>
        <v>#NUM!</v>
      </c>
      <c r="AH470" s="1415"/>
      <c r="AI470" s="1434"/>
      <c r="AJ470" s="1414"/>
    </row>
    <row r="471" spans="26:36" ht="15">
      <c r="Z471" s="1411">
        <v>406</v>
      </c>
      <c r="AA471" s="1417" t="s">
        <v>2491</v>
      </c>
      <c r="AB471" s="1419" t="e">
        <f t="shared" si="44"/>
        <v>#NUM!</v>
      </c>
      <c r="AC471" s="1418" t="e">
        <f t="shared" si="46"/>
        <v>#NUM!</v>
      </c>
      <c r="AD471" s="1413">
        <f t="shared" si="46"/>
        <v>0</v>
      </c>
      <c r="AE471" s="1411">
        <v>30</v>
      </c>
      <c r="AF471" s="1411">
        <f t="shared" si="42"/>
        <v>0</v>
      </c>
      <c r="AG471" s="1412" t="e">
        <f t="shared" si="43"/>
        <v>#NUM!</v>
      </c>
      <c r="AH471" s="1415"/>
      <c r="AI471" s="1434"/>
      <c r="AJ471" s="1414"/>
    </row>
    <row r="472" spans="26:36" ht="15">
      <c r="Z472" s="1411">
        <v>407</v>
      </c>
      <c r="AA472" s="1417" t="s">
        <v>2491</v>
      </c>
      <c r="AB472" s="1419" t="e">
        <f t="shared" si="44"/>
        <v>#NUM!</v>
      </c>
      <c r="AC472" s="1418" t="e">
        <f t="shared" si="46"/>
        <v>#NUM!</v>
      </c>
      <c r="AD472" s="1413">
        <f t="shared" si="46"/>
        <v>0</v>
      </c>
      <c r="AE472" s="1411">
        <v>30</v>
      </c>
      <c r="AF472" s="1411">
        <f t="shared" si="42"/>
        <v>0</v>
      </c>
      <c r="AG472" s="1412" t="e">
        <f t="shared" si="43"/>
        <v>#NUM!</v>
      </c>
      <c r="AH472" s="1415"/>
      <c r="AI472" s="1434"/>
      <c r="AJ472" s="1414"/>
    </row>
    <row r="473" spans="26:36" ht="15">
      <c r="Z473" s="1411">
        <v>408</v>
      </c>
      <c r="AA473" s="1417" t="s">
        <v>2491</v>
      </c>
      <c r="AB473" s="1419" t="e">
        <f t="shared" si="44"/>
        <v>#NUM!</v>
      </c>
      <c r="AC473" s="1418" t="e">
        <f t="shared" si="46"/>
        <v>#NUM!</v>
      </c>
      <c r="AD473" s="1413">
        <f t="shared" si="46"/>
        <v>0</v>
      </c>
      <c r="AE473" s="1411">
        <v>30</v>
      </c>
      <c r="AF473" s="1411">
        <f t="shared" si="42"/>
        <v>0</v>
      </c>
      <c r="AG473" s="1412" t="e">
        <f t="shared" si="43"/>
        <v>#NUM!</v>
      </c>
      <c r="AH473" s="1415"/>
      <c r="AI473" s="1434"/>
      <c r="AJ473" s="1414"/>
    </row>
    <row r="474" spans="26:36" ht="15">
      <c r="Z474" s="1411">
        <v>409</v>
      </c>
      <c r="AA474" s="1417" t="s">
        <v>2491</v>
      </c>
      <c r="AB474" s="1419" t="e">
        <f t="shared" si="44"/>
        <v>#NUM!</v>
      </c>
      <c r="AC474" s="1418" t="e">
        <f t="shared" si="46"/>
        <v>#NUM!</v>
      </c>
      <c r="AD474" s="1413">
        <f t="shared" si="46"/>
        <v>0</v>
      </c>
      <c r="AE474" s="1411">
        <v>30</v>
      </c>
      <c r="AF474" s="1411">
        <f t="shared" si="42"/>
        <v>0</v>
      </c>
      <c r="AG474" s="1412" t="e">
        <f t="shared" si="43"/>
        <v>#NUM!</v>
      </c>
      <c r="AH474" s="1415"/>
      <c r="AI474" s="1434"/>
      <c r="AJ474" s="1414"/>
    </row>
    <row r="475" spans="26:36" ht="15">
      <c r="Z475" s="1411">
        <v>410</v>
      </c>
      <c r="AA475" s="1417" t="s">
        <v>2491</v>
      </c>
      <c r="AB475" s="1419" t="e">
        <f t="shared" si="44"/>
        <v>#NUM!</v>
      </c>
      <c r="AC475" s="1418" t="e">
        <f t="shared" si="46"/>
        <v>#NUM!</v>
      </c>
      <c r="AD475" s="1413">
        <f t="shared" si="46"/>
        <v>0</v>
      </c>
      <c r="AE475" s="1411">
        <v>30</v>
      </c>
      <c r="AF475" s="1411">
        <f t="shared" si="42"/>
        <v>0</v>
      </c>
      <c r="AG475" s="1412" t="e">
        <f t="shared" si="43"/>
        <v>#NUM!</v>
      </c>
      <c r="AH475" s="1415"/>
      <c r="AI475" s="1434"/>
      <c r="AJ475" s="1414"/>
    </row>
    <row r="476" spans="26:36" ht="15">
      <c r="Z476" s="1411">
        <v>411</v>
      </c>
      <c r="AA476" s="1417" t="s">
        <v>2491</v>
      </c>
      <c r="AB476" s="1419" t="e">
        <f t="shared" si="44"/>
        <v>#NUM!</v>
      </c>
      <c r="AC476" s="1418" t="e">
        <f t="shared" si="46"/>
        <v>#NUM!</v>
      </c>
      <c r="AD476" s="1413">
        <f t="shared" si="46"/>
        <v>0</v>
      </c>
      <c r="AE476" s="1411">
        <v>30</v>
      </c>
      <c r="AF476" s="1411">
        <f t="shared" si="42"/>
        <v>0</v>
      </c>
      <c r="AG476" s="1412" t="e">
        <f t="shared" si="43"/>
        <v>#NUM!</v>
      </c>
      <c r="AH476" s="1415"/>
      <c r="AI476" s="1434"/>
      <c r="AJ476" s="1414"/>
    </row>
    <row r="477" spans="26:36" ht="15">
      <c r="Z477" s="1411">
        <v>412</v>
      </c>
      <c r="AA477" s="1417" t="s">
        <v>2491</v>
      </c>
      <c r="AB477" s="1419" t="e">
        <f t="shared" si="44"/>
        <v>#NUM!</v>
      </c>
      <c r="AC477" s="1418" t="e">
        <f t="shared" si="46"/>
        <v>#NUM!</v>
      </c>
      <c r="AD477" s="1413">
        <f t="shared" si="46"/>
        <v>0</v>
      </c>
      <c r="AE477" s="1411">
        <v>30</v>
      </c>
      <c r="AF477" s="1411">
        <f t="shared" si="42"/>
        <v>0</v>
      </c>
      <c r="AG477" s="1412" t="e">
        <f t="shared" si="43"/>
        <v>#NUM!</v>
      </c>
      <c r="AH477" s="1415"/>
      <c r="AI477" s="1434"/>
      <c r="AJ477" s="1414"/>
    </row>
    <row r="478" spans="26:36" ht="15">
      <c r="Z478" s="1411">
        <v>413</v>
      </c>
      <c r="AA478" s="1417" t="s">
        <v>2491</v>
      </c>
      <c r="AB478" s="1419" t="e">
        <f t="shared" si="44"/>
        <v>#NUM!</v>
      </c>
      <c r="AC478" s="1418" t="e">
        <f t="shared" si="46"/>
        <v>#NUM!</v>
      </c>
      <c r="AD478" s="1413">
        <f t="shared" si="46"/>
        <v>0</v>
      </c>
      <c r="AE478" s="1411">
        <v>30</v>
      </c>
      <c r="AF478" s="1411">
        <f t="shared" si="42"/>
        <v>0</v>
      </c>
      <c r="AG478" s="1412" t="e">
        <f t="shared" si="43"/>
        <v>#NUM!</v>
      </c>
      <c r="AH478" s="1415"/>
      <c r="AI478" s="1434"/>
      <c r="AJ478" s="1414"/>
    </row>
    <row r="479" spans="26:36" ht="15">
      <c r="Z479" s="1411">
        <v>414</v>
      </c>
      <c r="AA479" s="1417" t="s">
        <v>2491</v>
      </c>
      <c r="AB479" s="1419" t="e">
        <f t="shared" si="44"/>
        <v>#NUM!</v>
      </c>
      <c r="AC479" s="1418" t="e">
        <f t="shared" si="46"/>
        <v>#NUM!</v>
      </c>
      <c r="AD479" s="1413">
        <f t="shared" si="46"/>
        <v>0</v>
      </c>
      <c r="AE479" s="1411">
        <v>30</v>
      </c>
      <c r="AF479" s="1411">
        <f t="shared" si="42"/>
        <v>0</v>
      </c>
      <c r="AG479" s="1412" t="e">
        <f t="shared" si="43"/>
        <v>#NUM!</v>
      </c>
      <c r="AH479" s="1415"/>
      <c r="AI479" s="1434"/>
      <c r="AJ479" s="1414"/>
    </row>
    <row r="480" spans="26:36" ht="15">
      <c r="Z480" s="1411">
        <v>415</v>
      </c>
      <c r="AA480" s="1417" t="s">
        <v>2491</v>
      </c>
      <c r="AB480" s="1419" t="e">
        <f t="shared" si="44"/>
        <v>#NUM!</v>
      </c>
      <c r="AC480" s="1418" t="e">
        <f t="shared" si="46"/>
        <v>#NUM!</v>
      </c>
      <c r="AD480" s="1413">
        <f t="shared" si="46"/>
        <v>0</v>
      </c>
      <c r="AE480" s="1411">
        <v>30</v>
      </c>
      <c r="AF480" s="1411">
        <f t="shared" si="42"/>
        <v>0</v>
      </c>
      <c r="AG480" s="1412" t="e">
        <f t="shared" si="43"/>
        <v>#NUM!</v>
      </c>
      <c r="AH480" s="1415"/>
      <c r="AI480" s="1434"/>
      <c r="AJ480" s="1414"/>
    </row>
    <row r="481" spans="26:36" ht="15">
      <c r="Z481" s="1411">
        <v>416</v>
      </c>
      <c r="AA481" s="1417" t="s">
        <v>2491</v>
      </c>
      <c r="AB481" s="1419" t="e">
        <f t="shared" si="44"/>
        <v>#NUM!</v>
      </c>
      <c r="AC481" s="1418" t="e">
        <f t="shared" si="46"/>
        <v>#NUM!</v>
      </c>
      <c r="AD481" s="1413">
        <f t="shared" si="46"/>
        <v>0</v>
      </c>
      <c r="AE481" s="1411">
        <v>30</v>
      </c>
      <c r="AF481" s="1411">
        <f t="shared" si="42"/>
        <v>0</v>
      </c>
      <c r="AG481" s="1412" t="e">
        <f t="shared" si="43"/>
        <v>#NUM!</v>
      </c>
      <c r="AH481" s="1415"/>
      <c r="AI481" s="1434"/>
      <c r="AJ481" s="1414"/>
    </row>
    <row r="482" spans="26:36" ht="15">
      <c r="Z482" s="1411">
        <v>417</v>
      </c>
      <c r="AA482" s="1417" t="s">
        <v>2491</v>
      </c>
      <c r="AB482" s="1419" t="e">
        <f t="shared" si="44"/>
        <v>#NUM!</v>
      </c>
      <c r="AC482" s="1418" t="e">
        <f t="shared" si="46"/>
        <v>#NUM!</v>
      </c>
      <c r="AD482" s="1413">
        <f t="shared" si="46"/>
        <v>0</v>
      </c>
      <c r="AE482" s="1411">
        <v>30</v>
      </c>
      <c r="AF482" s="1411">
        <f t="shared" si="42"/>
        <v>0</v>
      </c>
      <c r="AG482" s="1412" t="e">
        <f t="shared" si="43"/>
        <v>#NUM!</v>
      </c>
      <c r="AH482" s="1415"/>
      <c r="AI482" s="1434"/>
      <c r="AJ482" s="1414"/>
    </row>
    <row r="483" spans="26:36" ht="15">
      <c r="Z483" s="1411">
        <v>418</v>
      </c>
      <c r="AA483" s="1417" t="s">
        <v>2491</v>
      </c>
      <c r="AB483" s="1419" t="e">
        <f t="shared" si="44"/>
        <v>#NUM!</v>
      </c>
      <c r="AC483" s="1418" t="e">
        <f t="shared" si="46"/>
        <v>#NUM!</v>
      </c>
      <c r="AD483" s="1413">
        <f t="shared" si="46"/>
        <v>0</v>
      </c>
      <c r="AE483" s="1411">
        <v>30</v>
      </c>
      <c r="AF483" s="1411">
        <f t="shared" si="42"/>
        <v>0</v>
      </c>
      <c r="AG483" s="1412" t="e">
        <f t="shared" si="43"/>
        <v>#NUM!</v>
      </c>
      <c r="AH483" s="1415"/>
      <c r="AI483" s="1434"/>
      <c r="AJ483" s="1414"/>
    </row>
    <row r="484" spans="26:36" ht="15">
      <c r="Z484" s="1411">
        <v>419</v>
      </c>
      <c r="AA484" s="1417" t="s">
        <v>2491</v>
      </c>
      <c r="AB484" s="1419" t="e">
        <f t="shared" si="44"/>
        <v>#NUM!</v>
      </c>
      <c r="AC484" s="1418" t="e">
        <f t="shared" ref="AC484:AD499" si="47">+AC483</f>
        <v>#NUM!</v>
      </c>
      <c r="AD484" s="1413">
        <f t="shared" si="47"/>
        <v>0</v>
      </c>
      <c r="AE484" s="1411">
        <v>30</v>
      </c>
      <c r="AF484" s="1411">
        <f t="shared" si="42"/>
        <v>0</v>
      </c>
      <c r="AG484" s="1412" t="e">
        <f t="shared" si="43"/>
        <v>#NUM!</v>
      </c>
      <c r="AH484" s="1415"/>
      <c r="AI484" s="1434"/>
      <c r="AJ484" s="1414"/>
    </row>
    <row r="485" spans="26:36" ht="15">
      <c r="Z485" s="1411">
        <v>420</v>
      </c>
      <c r="AA485" s="1417" t="s">
        <v>2491</v>
      </c>
      <c r="AB485" s="1419" t="e">
        <f t="shared" si="44"/>
        <v>#NUM!</v>
      </c>
      <c r="AC485" s="1418" t="e">
        <f t="shared" si="47"/>
        <v>#NUM!</v>
      </c>
      <c r="AD485" s="1413">
        <f t="shared" si="47"/>
        <v>0</v>
      </c>
      <c r="AE485" s="1411">
        <v>30</v>
      </c>
      <c r="AF485" s="1411">
        <f t="shared" si="42"/>
        <v>0</v>
      </c>
      <c r="AG485" s="1412" t="e">
        <f t="shared" si="43"/>
        <v>#NUM!</v>
      </c>
      <c r="AH485" s="1415"/>
      <c r="AI485" s="1434"/>
      <c r="AJ485" s="1414"/>
    </row>
    <row r="486" spans="26:36" ht="15">
      <c r="Z486" s="1411">
        <v>421</v>
      </c>
      <c r="AA486" s="1417" t="s">
        <v>2491</v>
      </c>
      <c r="AB486" s="1419" t="e">
        <f t="shared" si="44"/>
        <v>#NUM!</v>
      </c>
      <c r="AC486" s="1418" t="e">
        <f t="shared" si="47"/>
        <v>#NUM!</v>
      </c>
      <c r="AD486" s="1413">
        <f t="shared" si="47"/>
        <v>0</v>
      </c>
      <c r="AE486" s="1411">
        <v>30</v>
      </c>
      <c r="AF486" s="1411">
        <f t="shared" si="42"/>
        <v>0</v>
      </c>
      <c r="AG486" s="1412" t="e">
        <f t="shared" si="43"/>
        <v>#NUM!</v>
      </c>
      <c r="AH486" s="1415"/>
      <c r="AI486" s="1434"/>
      <c r="AJ486" s="1414"/>
    </row>
    <row r="487" spans="26:36" ht="15">
      <c r="Z487" s="1411">
        <v>422</v>
      </c>
      <c r="AA487" s="1417" t="s">
        <v>2491</v>
      </c>
      <c r="AB487" s="1419" t="e">
        <f t="shared" si="44"/>
        <v>#NUM!</v>
      </c>
      <c r="AC487" s="1418" t="e">
        <f t="shared" si="47"/>
        <v>#NUM!</v>
      </c>
      <c r="AD487" s="1413">
        <f t="shared" si="47"/>
        <v>0</v>
      </c>
      <c r="AE487" s="1411">
        <v>30</v>
      </c>
      <c r="AF487" s="1411">
        <f t="shared" si="42"/>
        <v>0</v>
      </c>
      <c r="AG487" s="1412" t="e">
        <f t="shared" si="43"/>
        <v>#NUM!</v>
      </c>
      <c r="AH487" s="1415"/>
      <c r="AI487" s="1434"/>
      <c r="AJ487" s="1414"/>
    </row>
    <row r="488" spans="26:36" ht="15">
      <c r="Z488" s="1411">
        <v>423</v>
      </c>
      <c r="AA488" s="1417" t="s">
        <v>2491</v>
      </c>
      <c r="AB488" s="1419" t="e">
        <f t="shared" si="44"/>
        <v>#NUM!</v>
      </c>
      <c r="AC488" s="1418" t="e">
        <f t="shared" si="47"/>
        <v>#NUM!</v>
      </c>
      <c r="AD488" s="1413">
        <f t="shared" si="47"/>
        <v>0</v>
      </c>
      <c r="AE488" s="1411">
        <v>30</v>
      </c>
      <c r="AF488" s="1411">
        <f t="shared" si="42"/>
        <v>0</v>
      </c>
      <c r="AG488" s="1412" t="e">
        <f t="shared" si="43"/>
        <v>#NUM!</v>
      </c>
      <c r="AH488" s="1415"/>
      <c r="AI488" s="1434"/>
      <c r="AJ488" s="1414"/>
    </row>
    <row r="489" spans="26:36" ht="15">
      <c r="Z489" s="1411">
        <v>424</v>
      </c>
      <c r="AA489" s="1417" t="s">
        <v>2491</v>
      </c>
      <c r="AB489" s="1419" t="e">
        <f t="shared" si="44"/>
        <v>#NUM!</v>
      </c>
      <c r="AC489" s="1418" t="e">
        <f t="shared" si="47"/>
        <v>#NUM!</v>
      </c>
      <c r="AD489" s="1413">
        <f t="shared" si="47"/>
        <v>0</v>
      </c>
      <c r="AE489" s="1411">
        <v>30</v>
      </c>
      <c r="AF489" s="1411">
        <f t="shared" si="42"/>
        <v>0</v>
      </c>
      <c r="AG489" s="1412" t="e">
        <f t="shared" si="43"/>
        <v>#NUM!</v>
      </c>
      <c r="AH489" s="1415"/>
      <c r="AI489" s="1434"/>
      <c r="AJ489" s="1414"/>
    </row>
    <row r="490" spans="26:36" ht="15">
      <c r="Z490" s="1411">
        <v>425</v>
      </c>
      <c r="AA490" s="1417" t="s">
        <v>2491</v>
      </c>
      <c r="AB490" s="1419" t="e">
        <f t="shared" si="44"/>
        <v>#NUM!</v>
      </c>
      <c r="AC490" s="1418" t="e">
        <f t="shared" si="47"/>
        <v>#NUM!</v>
      </c>
      <c r="AD490" s="1413">
        <f t="shared" si="47"/>
        <v>0</v>
      </c>
      <c r="AE490" s="1411">
        <v>30</v>
      </c>
      <c r="AF490" s="1411">
        <f t="shared" si="42"/>
        <v>0</v>
      </c>
      <c r="AG490" s="1412" t="e">
        <f t="shared" si="43"/>
        <v>#NUM!</v>
      </c>
      <c r="AH490" s="1415"/>
      <c r="AI490" s="1434"/>
      <c r="AJ490" s="1414"/>
    </row>
    <row r="491" spans="26:36" ht="15">
      <c r="Z491" s="1411">
        <v>426</v>
      </c>
      <c r="AA491" s="1417" t="s">
        <v>2491</v>
      </c>
      <c r="AB491" s="1419" t="e">
        <f t="shared" si="44"/>
        <v>#NUM!</v>
      </c>
      <c r="AC491" s="1418" t="e">
        <f t="shared" si="47"/>
        <v>#NUM!</v>
      </c>
      <c r="AD491" s="1413">
        <f t="shared" si="47"/>
        <v>0</v>
      </c>
      <c r="AE491" s="1411">
        <v>30</v>
      </c>
      <c r="AF491" s="1411">
        <f t="shared" si="42"/>
        <v>0</v>
      </c>
      <c r="AG491" s="1412" t="e">
        <f t="shared" si="43"/>
        <v>#NUM!</v>
      </c>
      <c r="AH491" s="1415"/>
      <c r="AI491" s="1434"/>
      <c r="AJ491" s="1414"/>
    </row>
    <row r="492" spans="26:36" ht="15">
      <c r="Z492" s="1411">
        <v>427</v>
      </c>
      <c r="AA492" s="1417" t="s">
        <v>2491</v>
      </c>
      <c r="AB492" s="1419" t="e">
        <f t="shared" si="44"/>
        <v>#NUM!</v>
      </c>
      <c r="AC492" s="1418" t="e">
        <f t="shared" si="47"/>
        <v>#NUM!</v>
      </c>
      <c r="AD492" s="1413">
        <f t="shared" si="47"/>
        <v>0</v>
      </c>
      <c r="AE492" s="1411">
        <v>30</v>
      </c>
      <c r="AF492" s="1411">
        <f t="shared" si="42"/>
        <v>0</v>
      </c>
      <c r="AG492" s="1412" t="e">
        <f t="shared" si="43"/>
        <v>#NUM!</v>
      </c>
      <c r="AH492" s="1415"/>
      <c r="AI492" s="1434"/>
      <c r="AJ492" s="1414"/>
    </row>
    <row r="493" spans="26:36" ht="15">
      <c r="Z493" s="1411">
        <v>428</v>
      </c>
      <c r="AA493" s="1417" t="s">
        <v>2491</v>
      </c>
      <c r="AB493" s="1419" t="e">
        <f t="shared" si="44"/>
        <v>#NUM!</v>
      </c>
      <c r="AC493" s="1418" t="e">
        <f t="shared" si="47"/>
        <v>#NUM!</v>
      </c>
      <c r="AD493" s="1413">
        <f t="shared" si="47"/>
        <v>0</v>
      </c>
      <c r="AE493" s="1411">
        <v>30</v>
      </c>
      <c r="AF493" s="1411">
        <f t="shared" si="42"/>
        <v>0</v>
      </c>
      <c r="AG493" s="1412" t="e">
        <f t="shared" si="43"/>
        <v>#NUM!</v>
      </c>
      <c r="AH493" s="1415"/>
      <c r="AI493" s="1434"/>
      <c r="AJ493" s="1414"/>
    </row>
    <row r="494" spans="26:36" ht="15">
      <c r="Z494" s="1411">
        <v>429</v>
      </c>
      <c r="AA494" s="1417" t="s">
        <v>2491</v>
      </c>
      <c r="AB494" s="1419" t="e">
        <f t="shared" si="44"/>
        <v>#NUM!</v>
      </c>
      <c r="AC494" s="1418" t="e">
        <f t="shared" si="47"/>
        <v>#NUM!</v>
      </c>
      <c r="AD494" s="1413">
        <f t="shared" si="47"/>
        <v>0</v>
      </c>
      <c r="AE494" s="1411">
        <v>30</v>
      </c>
      <c r="AF494" s="1411">
        <f t="shared" si="42"/>
        <v>0</v>
      </c>
      <c r="AG494" s="1412" t="e">
        <f t="shared" si="43"/>
        <v>#NUM!</v>
      </c>
      <c r="AH494" s="1415"/>
      <c r="AI494" s="1434"/>
      <c r="AJ494" s="1414"/>
    </row>
    <row r="495" spans="26:36" ht="15">
      <c r="Z495" s="1411">
        <v>430</v>
      </c>
      <c r="AA495" s="1417" t="s">
        <v>2491</v>
      </c>
      <c r="AB495" s="1419" t="e">
        <f t="shared" si="44"/>
        <v>#NUM!</v>
      </c>
      <c r="AC495" s="1418" t="e">
        <f t="shared" si="47"/>
        <v>#NUM!</v>
      </c>
      <c r="AD495" s="1413">
        <f t="shared" si="47"/>
        <v>0</v>
      </c>
      <c r="AE495" s="1411">
        <v>30</v>
      </c>
      <c r="AF495" s="1411">
        <f t="shared" si="42"/>
        <v>0</v>
      </c>
      <c r="AG495" s="1412" t="e">
        <f t="shared" si="43"/>
        <v>#NUM!</v>
      </c>
      <c r="AH495" s="1415"/>
      <c r="AI495" s="1434"/>
      <c r="AJ495" s="1414"/>
    </row>
    <row r="496" spans="26:36" ht="15">
      <c r="Z496" s="1411">
        <v>431</v>
      </c>
      <c r="AA496" s="1417" t="s">
        <v>2491</v>
      </c>
      <c r="AB496" s="1419" t="e">
        <f t="shared" si="44"/>
        <v>#NUM!</v>
      </c>
      <c r="AC496" s="1418" t="e">
        <f t="shared" si="47"/>
        <v>#NUM!</v>
      </c>
      <c r="AD496" s="1413">
        <f t="shared" si="47"/>
        <v>0</v>
      </c>
      <c r="AE496" s="1411">
        <v>30</v>
      </c>
      <c r="AF496" s="1411">
        <f t="shared" si="42"/>
        <v>0</v>
      </c>
      <c r="AG496" s="1412" t="e">
        <f t="shared" si="43"/>
        <v>#NUM!</v>
      </c>
      <c r="AH496" s="1415"/>
      <c r="AI496" s="1434"/>
      <c r="AJ496" s="1414"/>
    </row>
    <row r="497" spans="26:36" ht="15">
      <c r="Z497" s="1411">
        <v>432</v>
      </c>
      <c r="AA497" s="1417" t="s">
        <v>2491</v>
      </c>
      <c r="AB497" s="1419" t="e">
        <f t="shared" si="44"/>
        <v>#NUM!</v>
      </c>
      <c r="AC497" s="1418" t="e">
        <f t="shared" si="47"/>
        <v>#NUM!</v>
      </c>
      <c r="AD497" s="1413">
        <f t="shared" si="47"/>
        <v>0</v>
      </c>
      <c r="AE497" s="1411">
        <v>30</v>
      </c>
      <c r="AF497" s="1411">
        <f t="shared" si="42"/>
        <v>0</v>
      </c>
      <c r="AG497" s="1412" t="e">
        <f t="shared" si="43"/>
        <v>#NUM!</v>
      </c>
      <c r="AH497" s="1415"/>
      <c r="AI497" s="1434"/>
      <c r="AJ497" s="1414"/>
    </row>
    <row r="498" spans="26:36" ht="15">
      <c r="Z498" s="1411">
        <v>433</v>
      </c>
      <c r="AA498" s="1417" t="s">
        <v>2491</v>
      </c>
      <c r="AB498" s="1419" t="e">
        <f t="shared" si="44"/>
        <v>#NUM!</v>
      </c>
      <c r="AC498" s="1418" t="e">
        <f t="shared" si="47"/>
        <v>#NUM!</v>
      </c>
      <c r="AD498" s="1413">
        <f t="shared" si="47"/>
        <v>0</v>
      </c>
      <c r="AE498" s="1411">
        <v>30</v>
      </c>
      <c r="AF498" s="1411">
        <f t="shared" si="42"/>
        <v>0</v>
      </c>
      <c r="AG498" s="1412" t="e">
        <f t="shared" si="43"/>
        <v>#NUM!</v>
      </c>
      <c r="AH498" s="1415"/>
      <c r="AI498" s="1434"/>
      <c r="AJ498" s="1414"/>
    </row>
    <row r="499" spans="26:36" ht="15">
      <c r="Z499" s="1411">
        <v>434</v>
      </c>
      <c r="AA499" s="1417" t="s">
        <v>2491</v>
      </c>
      <c r="AB499" s="1419" t="e">
        <f t="shared" si="44"/>
        <v>#NUM!</v>
      </c>
      <c r="AC499" s="1418" t="e">
        <f t="shared" si="47"/>
        <v>#NUM!</v>
      </c>
      <c r="AD499" s="1413">
        <f t="shared" si="47"/>
        <v>0</v>
      </c>
      <c r="AE499" s="1411">
        <v>30</v>
      </c>
      <c r="AF499" s="1411">
        <f t="shared" si="42"/>
        <v>0</v>
      </c>
      <c r="AG499" s="1412" t="e">
        <f t="shared" si="43"/>
        <v>#NUM!</v>
      </c>
      <c r="AH499" s="1415"/>
      <c r="AI499" s="1434"/>
      <c r="AJ499" s="1414"/>
    </row>
    <row r="500" spans="26:36" ht="15">
      <c r="Z500" s="1411">
        <v>435</v>
      </c>
      <c r="AA500" s="1417" t="s">
        <v>2491</v>
      </c>
      <c r="AB500" s="1419" t="e">
        <f t="shared" si="44"/>
        <v>#NUM!</v>
      </c>
      <c r="AC500" s="1418" t="e">
        <f t="shared" ref="AC500:AD515" si="48">+AC499</f>
        <v>#NUM!</v>
      </c>
      <c r="AD500" s="1413">
        <f t="shared" si="48"/>
        <v>0</v>
      </c>
      <c r="AE500" s="1411">
        <v>30</v>
      </c>
      <c r="AF500" s="1411">
        <f t="shared" si="42"/>
        <v>0</v>
      </c>
      <c r="AG500" s="1412" t="e">
        <f t="shared" si="43"/>
        <v>#NUM!</v>
      </c>
      <c r="AH500" s="1415"/>
      <c r="AI500" s="1434"/>
      <c r="AJ500" s="1414"/>
    </row>
    <row r="501" spans="26:36" ht="15">
      <c r="Z501" s="1411">
        <v>436</v>
      </c>
      <c r="AA501" s="1417" t="s">
        <v>2491</v>
      </c>
      <c r="AB501" s="1419" t="e">
        <f t="shared" si="44"/>
        <v>#NUM!</v>
      </c>
      <c r="AC501" s="1418" t="e">
        <f t="shared" si="48"/>
        <v>#NUM!</v>
      </c>
      <c r="AD501" s="1413">
        <f t="shared" si="48"/>
        <v>0</v>
      </c>
      <c r="AE501" s="1411">
        <v>30</v>
      </c>
      <c r="AF501" s="1411">
        <f t="shared" si="42"/>
        <v>0</v>
      </c>
      <c r="AG501" s="1412" t="e">
        <f t="shared" si="43"/>
        <v>#NUM!</v>
      </c>
      <c r="AH501" s="1415"/>
      <c r="AI501" s="1434"/>
      <c r="AJ501" s="1414"/>
    </row>
    <row r="502" spans="26:36" ht="15">
      <c r="Z502" s="1411">
        <v>437</v>
      </c>
      <c r="AA502" s="1417" t="s">
        <v>2491</v>
      </c>
      <c r="AB502" s="1419" t="e">
        <f t="shared" si="44"/>
        <v>#NUM!</v>
      </c>
      <c r="AC502" s="1418" t="e">
        <f t="shared" si="48"/>
        <v>#NUM!</v>
      </c>
      <c r="AD502" s="1413">
        <f t="shared" si="48"/>
        <v>0</v>
      </c>
      <c r="AE502" s="1411">
        <v>30</v>
      </c>
      <c r="AF502" s="1411">
        <f t="shared" si="42"/>
        <v>0</v>
      </c>
      <c r="AG502" s="1412" t="e">
        <f t="shared" si="43"/>
        <v>#NUM!</v>
      </c>
      <c r="AH502" s="1415"/>
      <c r="AI502" s="1434"/>
      <c r="AJ502" s="1414"/>
    </row>
    <row r="503" spans="26:36" ht="15">
      <c r="Z503" s="1411">
        <v>438</v>
      </c>
      <c r="AA503" s="1417" t="s">
        <v>2491</v>
      </c>
      <c r="AB503" s="1419" t="e">
        <f t="shared" si="44"/>
        <v>#NUM!</v>
      </c>
      <c r="AC503" s="1418" t="e">
        <f t="shared" si="48"/>
        <v>#NUM!</v>
      </c>
      <c r="AD503" s="1413">
        <f t="shared" si="48"/>
        <v>0</v>
      </c>
      <c r="AE503" s="1411">
        <v>30</v>
      </c>
      <c r="AF503" s="1411">
        <f t="shared" si="42"/>
        <v>0</v>
      </c>
      <c r="AG503" s="1412" t="e">
        <f t="shared" si="43"/>
        <v>#NUM!</v>
      </c>
      <c r="AH503" s="1415"/>
      <c r="AI503" s="1434"/>
      <c r="AJ503" s="1414"/>
    </row>
    <row r="504" spans="26:36" ht="15">
      <c r="Z504" s="1411">
        <v>439</v>
      </c>
      <c r="AA504" s="1417" t="s">
        <v>2491</v>
      </c>
      <c r="AB504" s="1419" t="e">
        <f t="shared" si="44"/>
        <v>#NUM!</v>
      </c>
      <c r="AC504" s="1418" t="e">
        <f t="shared" si="48"/>
        <v>#NUM!</v>
      </c>
      <c r="AD504" s="1413">
        <f t="shared" si="48"/>
        <v>0</v>
      </c>
      <c r="AE504" s="1411">
        <v>30</v>
      </c>
      <c r="AF504" s="1411">
        <f t="shared" si="42"/>
        <v>0</v>
      </c>
      <c r="AG504" s="1412" t="e">
        <f t="shared" si="43"/>
        <v>#NUM!</v>
      </c>
      <c r="AH504" s="1415"/>
      <c r="AI504" s="1434"/>
      <c r="AJ504" s="1414"/>
    </row>
    <row r="505" spans="26:36" ht="15">
      <c r="Z505" s="1411">
        <v>440</v>
      </c>
      <c r="AA505" s="1417" t="s">
        <v>2491</v>
      </c>
      <c r="AB505" s="1419" t="e">
        <f t="shared" si="44"/>
        <v>#NUM!</v>
      </c>
      <c r="AC505" s="1418" t="e">
        <f t="shared" si="48"/>
        <v>#NUM!</v>
      </c>
      <c r="AD505" s="1413">
        <f t="shared" si="48"/>
        <v>0</v>
      </c>
      <c r="AE505" s="1411">
        <v>30</v>
      </c>
      <c r="AF505" s="1411">
        <f t="shared" si="42"/>
        <v>0</v>
      </c>
      <c r="AG505" s="1412" t="e">
        <f t="shared" si="43"/>
        <v>#NUM!</v>
      </c>
      <c r="AH505" s="1415"/>
      <c r="AI505" s="1434"/>
      <c r="AJ505" s="1414"/>
    </row>
    <row r="506" spans="26:36" ht="15">
      <c r="Z506" s="1411">
        <v>441</v>
      </c>
      <c r="AA506" s="1417" t="s">
        <v>2491</v>
      </c>
      <c r="AB506" s="1419" t="e">
        <f t="shared" si="44"/>
        <v>#NUM!</v>
      </c>
      <c r="AC506" s="1418" t="e">
        <f t="shared" si="48"/>
        <v>#NUM!</v>
      </c>
      <c r="AD506" s="1413">
        <f t="shared" si="48"/>
        <v>0</v>
      </c>
      <c r="AE506" s="1411">
        <v>30</v>
      </c>
      <c r="AF506" s="1411">
        <f t="shared" si="42"/>
        <v>0</v>
      </c>
      <c r="AG506" s="1412" t="e">
        <f t="shared" si="43"/>
        <v>#NUM!</v>
      </c>
      <c r="AH506" s="1415"/>
      <c r="AI506" s="1434"/>
      <c r="AJ506" s="1414"/>
    </row>
    <row r="507" spans="26:36" ht="15">
      <c r="Z507" s="1411">
        <v>442</v>
      </c>
      <c r="AA507" s="1417" t="s">
        <v>2491</v>
      </c>
      <c r="AB507" s="1419" t="e">
        <f t="shared" si="44"/>
        <v>#NUM!</v>
      </c>
      <c r="AC507" s="1418" t="e">
        <f t="shared" si="48"/>
        <v>#NUM!</v>
      </c>
      <c r="AD507" s="1413">
        <f t="shared" si="48"/>
        <v>0</v>
      </c>
      <c r="AE507" s="1411">
        <v>30</v>
      </c>
      <c r="AF507" s="1411">
        <f t="shared" si="42"/>
        <v>0</v>
      </c>
      <c r="AG507" s="1412" t="e">
        <f t="shared" si="43"/>
        <v>#NUM!</v>
      </c>
      <c r="AH507" s="1415"/>
      <c r="AI507" s="1434"/>
      <c r="AJ507" s="1414"/>
    </row>
    <row r="508" spans="26:36" ht="15">
      <c r="Z508" s="1411">
        <v>443</v>
      </c>
      <c r="AA508" s="1417" t="s">
        <v>2491</v>
      </c>
      <c r="AB508" s="1419" t="e">
        <f t="shared" si="44"/>
        <v>#NUM!</v>
      </c>
      <c r="AC508" s="1418" t="e">
        <f t="shared" si="48"/>
        <v>#NUM!</v>
      </c>
      <c r="AD508" s="1413">
        <f t="shared" si="48"/>
        <v>0</v>
      </c>
      <c r="AE508" s="1411">
        <v>30</v>
      </c>
      <c r="AF508" s="1411">
        <f t="shared" si="42"/>
        <v>0</v>
      </c>
      <c r="AG508" s="1412" t="e">
        <f t="shared" si="43"/>
        <v>#NUM!</v>
      </c>
      <c r="AH508" s="1415"/>
      <c r="AI508" s="1434"/>
      <c r="AJ508" s="1414"/>
    </row>
    <row r="509" spans="26:36" ht="15">
      <c r="Z509" s="1411">
        <v>444</v>
      </c>
      <c r="AA509" s="1417" t="s">
        <v>2491</v>
      </c>
      <c r="AB509" s="1419" t="e">
        <f t="shared" si="44"/>
        <v>#NUM!</v>
      </c>
      <c r="AC509" s="1418" t="e">
        <f t="shared" si="48"/>
        <v>#NUM!</v>
      </c>
      <c r="AD509" s="1413">
        <f t="shared" si="48"/>
        <v>0</v>
      </c>
      <c r="AE509" s="1411">
        <v>30</v>
      </c>
      <c r="AF509" s="1411">
        <f t="shared" si="42"/>
        <v>0</v>
      </c>
      <c r="AG509" s="1412" t="e">
        <f t="shared" si="43"/>
        <v>#NUM!</v>
      </c>
      <c r="AH509" s="1415"/>
      <c r="AI509" s="1434"/>
      <c r="AJ509" s="1414"/>
    </row>
    <row r="510" spans="26:36" ht="15">
      <c r="Z510" s="1411">
        <v>445</v>
      </c>
      <c r="AA510" s="1417" t="s">
        <v>2491</v>
      </c>
      <c r="AB510" s="1419" t="e">
        <f t="shared" si="44"/>
        <v>#NUM!</v>
      </c>
      <c r="AC510" s="1418" t="e">
        <f t="shared" si="48"/>
        <v>#NUM!</v>
      </c>
      <c r="AD510" s="1413">
        <f t="shared" si="48"/>
        <v>0</v>
      </c>
      <c r="AE510" s="1411">
        <v>30</v>
      </c>
      <c r="AF510" s="1411">
        <f t="shared" si="42"/>
        <v>0</v>
      </c>
      <c r="AG510" s="1412" t="e">
        <f t="shared" si="43"/>
        <v>#NUM!</v>
      </c>
      <c r="AH510" s="1415"/>
      <c r="AI510" s="1434"/>
      <c r="AJ510" s="1414"/>
    </row>
    <row r="511" spans="26:36" ht="15">
      <c r="Z511" s="1411">
        <v>446</v>
      </c>
      <c r="AA511" s="1417" t="s">
        <v>2491</v>
      </c>
      <c r="AB511" s="1419" t="e">
        <f t="shared" si="44"/>
        <v>#NUM!</v>
      </c>
      <c r="AC511" s="1418" t="e">
        <f t="shared" si="48"/>
        <v>#NUM!</v>
      </c>
      <c r="AD511" s="1413">
        <f t="shared" si="48"/>
        <v>0</v>
      </c>
      <c r="AE511" s="1411">
        <v>30</v>
      </c>
      <c r="AF511" s="1411">
        <f t="shared" si="42"/>
        <v>0</v>
      </c>
      <c r="AG511" s="1412" t="e">
        <f t="shared" si="43"/>
        <v>#NUM!</v>
      </c>
      <c r="AH511" s="1415"/>
      <c r="AI511" s="1434"/>
      <c r="AJ511" s="1414"/>
    </row>
    <row r="512" spans="26:36" ht="15">
      <c r="Z512" s="1411">
        <v>447</v>
      </c>
      <c r="AA512" s="1417" t="s">
        <v>2491</v>
      </c>
      <c r="AB512" s="1419" t="e">
        <f t="shared" si="44"/>
        <v>#NUM!</v>
      </c>
      <c r="AC512" s="1418" t="e">
        <f t="shared" si="48"/>
        <v>#NUM!</v>
      </c>
      <c r="AD512" s="1413">
        <f t="shared" si="48"/>
        <v>0</v>
      </c>
      <c r="AE512" s="1411">
        <v>30</v>
      </c>
      <c r="AF512" s="1411">
        <f t="shared" si="42"/>
        <v>0</v>
      </c>
      <c r="AG512" s="1412" t="e">
        <f t="shared" si="43"/>
        <v>#NUM!</v>
      </c>
      <c r="AH512" s="1415"/>
      <c r="AI512" s="1434"/>
      <c r="AJ512" s="1414"/>
    </row>
    <row r="513" spans="26:36" ht="15">
      <c r="Z513" s="1411">
        <v>448</v>
      </c>
      <c r="AA513" s="1417" t="s">
        <v>2491</v>
      </c>
      <c r="AB513" s="1419" t="e">
        <f t="shared" si="44"/>
        <v>#NUM!</v>
      </c>
      <c r="AC513" s="1418" t="e">
        <f t="shared" si="48"/>
        <v>#NUM!</v>
      </c>
      <c r="AD513" s="1413">
        <f t="shared" si="48"/>
        <v>0</v>
      </c>
      <c r="AE513" s="1411">
        <v>30</v>
      </c>
      <c r="AF513" s="1411">
        <f t="shared" si="42"/>
        <v>0</v>
      </c>
      <c r="AG513" s="1412" t="e">
        <f t="shared" si="43"/>
        <v>#NUM!</v>
      </c>
      <c r="AH513" s="1415"/>
      <c r="AI513" s="1434"/>
      <c r="AJ513" s="1414"/>
    </row>
    <row r="514" spans="26:36" ht="15">
      <c r="Z514" s="1411">
        <v>449</v>
      </c>
      <c r="AA514" s="1417" t="s">
        <v>2491</v>
      </c>
      <c r="AB514" s="1419" t="e">
        <f t="shared" si="44"/>
        <v>#NUM!</v>
      </c>
      <c r="AC514" s="1418" t="e">
        <f t="shared" si="48"/>
        <v>#NUM!</v>
      </c>
      <c r="AD514" s="1413">
        <f t="shared" si="48"/>
        <v>0</v>
      </c>
      <c r="AE514" s="1411">
        <v>30</v>
      </c>
      <c r="AF514" s="1411">
        <f t="shared" ref="AF514:AF546" si="49">AD514/360</f>
        <v>0</v>
      </c>
      <c r="AG514" s="1412" t="e">
        <f t="shared" ref="AG514:AG546" si="50">+AB514*AE514*AF514</f>
        <v>#NUM!</v>
      </c>
      <c r="AH514" s="1415"/>
      <c r="AI514" s="1434"/>
      <c r="AJ514" s="1414"/>
    </row>
    <row r="515" spans="26:36" ht="15">
      <c r="Z515" s="1411">
        <v>450</v>
      </c>
      <c r="AA515" s="1417" t="s">
        <v>2491</v>
      </c>
      <c r="AB515" s="1419" t="e">
        <f t="shared" ref="AB515:AB545" si="51">+AB514-AC514+AG514</f>
        <v>#NUM!</v>
      </c>
      <c r="AC515" s="1418" t="e">
        <f t="shared" si="48"/>
        <v>#NUM!</v>
      </c>
      <c r="AD515" s="1413">
        <f t="shared" si="48"/>
        <v>0</v>
      </c>
      <c r="AE515" s="1411">
        <v>30</v>
      </c>
      <c r="AF515" s="1411">
        <f t="shared" si="49"/>
        <v>0</v>
      </c>
      <c r="AG515" s="1412" t="e">
        <f t="shared" si="50"/>
        <v>#NUM!</v>
      </c>
      <c r="AH515" s="1415"/>
      <c r="AI515" s="1434"/>
      <c r="AJ515" s="1414"/>
    </row>
    <row r="516" spans="26:36" ht="15">
      <c r="Z516" s="1411">
        <v>451</v>
      </c>
      <c r="AA516" s="1417" t="s">
        <v>2491</v>
      </c>
      <c r="AB516" s="1419" t="e">
        <f t="shared" si="51"/>
        <v>#NUM!</v>
      </c>
      <c r="AC516" s="1418" t="e">
        <f t="shared" ref="AC516:AD531" si="52">+AC515</f>
        <v>#NUM!</v>
      </c>
      <c r="AD516" s="1413">
        <f t="shared" si="52"/>
        <v>0</v>
      </c>
      <c r="AE516" s="1411">
        <v>30</v>
      </c>
      <c r="AF516" s="1411">
        <f t="shared" si="49"/>
        <v>0</v>
      </c>
      <c r="AG516" s="1412" t="e">
        <f t="shared" si="50"/>
        <v>#NUM!</v>
      </c>
      <c r="AH516" s="1415"/>
      <c r="AI516" s="1434"/>
      <c r="AJ516" s="1414"/>
    </row>
    <row r="517" spans="26:36" ht="15">
      <c r="Z517" s="1411">
        <v>452</v>
      </c>
      <c r="AA517" s="1417" t="s">
        <v>2491</v>
      </c>
      <c r="AB517" s="1419" t="e">
        <f t="shared" si="51"/>
        <v>#NUM!</v>
      </c>
      <c r="AC517" s="1418" t="e">
        <f t="shared" si="52"/>
        <v>#NUM!</v>
      </c>
      <c r="AD517" s="1413">
        <f t="shared" si="52"/>
        <v>0</v>
      </c>
      <c r="AE517" s="1411">
        <v>30</v>
      </c>
      <c r="AF517" s="1411">
        <f t="shared" si="49"/>
        <v>0</v>
      </c>
      <c r="AG517" s="1412" t="e">
        <f t="shared" si="50"/>
        <v>#NUM!</v>
      </c>
      <c r="AH517" s="1415"/>
      <c r="AI517" s="1434"/>
      <c r="AJ517" s="1414"/>
    </row>
    <row r="518" spans="26:36" ht="15">
      <c r="Z518" s="1411">
        <v>453</v>
      </c>
      <c r="AA518" s="1417" t="s">
        <v>2491</v>
      </c>
      <c r="AB518" s="1419" t="e">
        <f t="shared" si="51"/>
        <v>#NUM!</v>
      </c>
      <c r="AC518" s="1418" t="e">
        <f t="shared" si="52"/>
        <v>#NUM!</v>
      </c>
      <c r="AD518" s="1413">
        <f t="shared" si="52"/>
        <v>0</v>
      </c>
      <c r="AE518" s="1411">
        <v>30</v>
      </c>
      <c r="AF518" s="1411">
        <f t="shared" si="49"/>
        <v>0</v>
      </c>
      <c r="AG518" s="1412" t="e">
        <f t="shared" si="50"/>
        <v>#NUM!</v>
      </c>
      <c r="AH518" s="1415"/>
      <c r="AI518" s="1434"/>
      <c r="AJ518" s="1414"/>
    </row>
    <row r="519" spans="26:36" ht="15">
      <c r="Z519" s="1411">
        <v>454</v>
      </c>
      <c r="AA519" s="1417" t="s">
        <v>2491</v>
      </c>
      <c r="AB519" s="1419" t="e">
        <f t="shared" si="51"/>
        <v>#NUM!</v>
      </c>
      <c r="AC519" s="1418" t="e">
        <f t="shared" si="52"/>
        <v>#NUM!</v>
      </c>
      <c r="AD519" s="1413">
        <f t="shared" si="52"/>
        <v>0</v>
      </c>
      <c r="AE519" s="1411">
        <v>30</v>
      </c>
      <c r="AF519" s="1411">
        <f t="shared" si="49"/>
        <v>0</v>
      </c>
      <c r="AG519" s="1412" t="e">
        <f t="shared" si="50"/>
        <v>#NUM!</v>
      </c>
      <c r="AH519" s="1415"/>
      <c r="AI519" s="1434"/>
      <c r="AJ519" s="1414"/>
    </row>
    <row r="520" spans="26:36" ht="15">
      <c r="Z520" s="1411">
        <v>455</v>
      </c>
      <c r="AA520" s="1417" t="s">
        <v>2491</v>
      </c>
      <c r="AB520" s="1419" t="e">
        <f t="shared" si="51"/>
        <v>#NUM!</v>
      </c>
      <c r="AC520" s="1418" t="e">
        <f t="shared" si="52"/>
        <v>#NUM!</v>
      </c>
      <c r="AD520" s="1413">
        <f t="shared" si="52"/>
        <v>0</v>
      </c>
      <c r="AE520" s="1411">
        <v>30</v>
      </c>
      <c r="AF520" s="1411">
        <f t="shared" si="49"/>
        <v>0</v>
      </c>
      <c r="AG520" s="1412" t="e">
        <f t="shared" si="50"/>
        <v>#NUM!</v>
      </c>
      <c r="AH520" s="1415"/>
      <c r="AI520" s="1434"/>
      <c r="AJ520" s="1414"/>
    </row>
    <row r="521" spans="26:36" ht="15">
      <c r="Z521" s="1411">
        <v>456</v>
      </c>
      <c r="AA521" s="1417" t="s">
        <v>2491</v>
      </c>
      <c r="AB521" s="1419" t="e">
        <f t="shared" si="51"/>
        <v>#NUM!</v>
      </c>
      <c r="AC521" s="1418" t="e">
        <f t="shared" si="52"/>
        <v>#NUM!</v>
      </c>
      <c r="AD521" s="1413">
        <f t="shared" si="52"/>
        <v>0</v>
      </c>
      <c r="AE521" s="1411">
        <v>30</v>
      </c>
      <c r="AF521" s="1411">
        <f t="shared" si="49"/>
        <v>0</v>
      </c>
      <c r="AG521" s="1412" t="e">
        <f t="shared" si="50"/>
        <v>#NUM!</v>
      </c>
      <c r="AH521" s="1415"/>
      <c r="AI521" s="1434"/>
      <c r="AJ521" s="1414"/>
    </row>
    <row r="522" spans="26:36" ht="15">
      <c r="Z522" s="1411">
        <v>457</v>
      </c>
      <c r="AA522" s="1417" t="s">
        <v>2491</v>
      </c>
      <c r="AB522" s="1419" t="e">
        <f t="shared" si="51"/>
        <v>#NUM!</v>
      </c>
      <c r="AC522" s="1418" t="e">
        <f t="shared" si="52"/>
        <v>#NUM!</v>
      </c>
      <c r="AD522" s="1413">
        <f t="shared" si="52"/>
        <v>0</v>
      </c>
      <c r="AE522" s="1411">
        <v>30</v>
      </c>
      <c r="AF522" s="1411">
        <f t="shared" si="49"/>
        <v>0</v>
      </c>
      <c r="AG522" s="1412" t="e">
        <f t="shared" si="50"/>
        <v>#NUM!</v>
      </c>
      <c r="AH522" s="1415"/>
      <c r="AI522" s="1434"/>
      <c r="AJ522" s="1414"/>
    </row>
    <row r="523" spans="26:36" ht="15">
      <c r="Z523" s="1411">
        <v>458</v>
      </c>
      <c r="AA523" s="1417" t="s">
        <v>2491</v>
      </c>
      <c r="AB523" s="1419" t="e">
        <f t="shared" si="51"/>
        <v>#NUM!</v>
      </c>
      <c r="AC523" s="1418" t="e">
        <f t="shared" si="52"/>
        <v>#NUM!</v>
      </c>
      <c r="AD523" s="1413">
        <f t="shared" si="52"/>
        <v>0</v>
      </c>
      <c r="AE523" s="1411">
        <v>30</v>
      </c>
      <c r="AF523" s="1411">
        <f t="shared" si="49"/>
        <v>0</v>
      </c>
      <c r="AG523" s="1412" t="e">
        <f t="shared" si="50"/>
        <v>#NUM!</v>
      </c>
      <c r="AH523" s="1415"/>
      <c r="AI523" s="1434"/>
      <c r="AJ523" s="1414"/>
    </row>
    <row r="524" spans="26:36" ht="15">
      <c r="Z524" s="1411">
        <v>459</v>
      </c>
      <c r="AA524" s="1417" t="s">
        <v>2491</v>
      </c>
      <c r="AB524" s="1419" t="e">
        <f t="shared" si="51"/>
        <v>#NUM!</v>
      </c>
      <c r="AC524" s="1418" t="e">
        <f t="shared" si="52"/>
        <v>#NUM!</v>
      </c>
      <c r="AD524" s="1413">
        <f t="shared" si="52"/>
        <v>0</v>
      </c>
      <c r="AE524" s="1411">
        <v>30</v>
      </c>
      <c r="AF524" s="1411">
        <f t="shared" si="49"/>
        <v>0</v>
      </c>
      <c r="AG524" s="1412" t="e">
        <f t="shared" si="50"/>
        <v>#NUM!</v>
      </c>
      <c r="AH524" s="1415"/>
      <c r="AI524" s="1434"/>
      <c r="AJ524" s="1414"/>
    </row>
    <row r="525" spans="26:36" ht="15">
      <c r="Z525" s="1411">
        <v>460</v>
      </c>
      <c r="AA525" s="1417" t="s">
        <v>2491</v>
      </c>
      <c r="AB525" s="1419" t="e">
        <f t="shared" si="51"/>
        <v>#NUM!</v>
      </c>
      <c r="AC525" s="1418" t="e">
        <f t="shared" si="52"/>
        <v>#NUM!</v>
      </c>
      <c r="AD525" s="1413">
        <f t="shared" si="52"/>
        <v>0</v>
      </c>
      <c r="AE525" s="1411">
        <v>30</v>
      </c>
      <c r="AF525" s="1411">
        <f t="shared" si="49"/>
        <v>0</v>
      </c>
      <c r="AG525" s="1412" t="e">
        <f t="shared" si="50"/>
        <v>#NUM!</v>
      </c>
      <c r="AH525" s="1415"/>
      <c r="AI525" s="1434"/>
      <c r="AJ525" s="1414"/>
    </row>
    <row r="526" spans="26:36" ht="15">
      <c r="Z526" s="1411">
        <v>461</v>
      </c>
      <c r="AA526" s="1417" t="s">
        <v>2491</v>
      </c>
      <c r="AB526" s="1419" t="e">
        <f t="shared" si="51"/>
        <v>#NUM!</v>
      </c>
      <c r="AC526" s="1418" t="e">
        <f t="shared" si="52"/>
        <v>#NUM!</v>
      </c>
      <c r="AD526" s="1413">
        <f t="shared" si="52"/>
        <v>0</v>
      </c>
      <c r="AE526" s="1411">
        <v>30</v>
      </c>
      <c r="AF526" s="1411">
        <f t="shared" si="49"/>
        <v>0</v>
      </c>
      <c r="AG526" s="1412" t="e">
        <f t="shared" si="50"/>
        <v>#NUM!</v>
      </c>
      <c r="AH526" s="1415"/>
      <c r="AI526" s="1434"/>
      <c r="AJ526" s="1414"/>
    </row>
    <row r="527" spans="26:36" ht="15">
      <c r="Z527" s="1411">
        <v>462</v>
      </c>
      <c r="AA527" s="1417" t="s">
        <v>2491</v>
      </c>
      <c r="AB527" s="1419" t="e">
        <f t="shared" si="51"/>
        <v>#NUM!</v>
      </c>
      <c r="AC527" s="1418" t="e">
        <f t="shared" si="52"/>
        <v>#NUM!</v>
      </c>
      <c r="AD527" s="1413">
        <f t="shared" si="52"/>
        <v>0</v>
      </c>
      <c r="AE527" s="1411">
        <v>30</v>
      </c>
      <c r="AF527" s="1411">
        <f t="shared" si="49"/>
        <v>0</v>
      </c>
      <c r="AG527" s="1412" t="e">
        <f t="shared" si="50"/>
        <v>#NUM!</v>
      </c>
      <c r="AH527" s="1415"/>
      <c r="AI527" s="1434"/>
      <c r="AJ527" s="1414"/>
    </row>
    <row r="528" spans="26:36" ht="15">
      <c r="Z528" s="1411">
        <v>463</v>
      </c>
      <c r="AA528" s="1417" t="s">
        <v>2491</v>
      </c>
      <c r="AB528" s="1419" t="e">
        <f t="shared" si="51"/>
        <v>#NUM!</v>
      </c>
      <c r="AC528" s="1418" t="e">
        <f t="shared" si="52"/>
        <v>#NUM!</v>
      </c>
      <c r="AD528" s="1413">
        <f t="shared" si="52"/>
        <v>0</v>
      </c>
      <c r="AE528" s="1411">
        <v>30</v>
      </c>
      <c r="AF528" s="1411">
        <f t="shared" si="49"/>
        <v>0</v>
      </c>
      <c r="AG528" s="1412" t="e">
        <f t="shared" si="50"/>
        <v>#NUM!</v>
      </c>
      <c r="AH528" s="1415"/>
      <c r="AI528" s="1434"/>
      <c r="AJ528" s="1414"/>
    </row>
    <row r="529" spans="26:36" ht="15">
      <c r="Z529" s="1411">
        <v>464</v>
      </c>
      <c r="AA529" s="1417" t="s">
        <v>2491</v>
      </c>
      <c r="AB529" s="1419" t="e">
        <f t="shared" si="51"/>
        <v>#NUM!</v>
      </c>
      <c r="AC529" s="1418" t="e">
        <f t="shared" si="52"/>
        <v>#NUM!</v>
      </c>
      <c r="AD529" s="1413">
        <f t="shared" si="52"/>
        <v>0</v>
      </c>
      <c r="AE529" s="1411">
        <v>30</v>
      </c>
      <c r="AF529" s="1411">
        <f t="shared" si="49"/>
        <v>0</v>
      </c>
      <c r="AG529" s="1412" t="e">
        <f t="shared" si="50"/>
        <v>#NUM!</v>
      </c>
      <c r="AH529" s="1415"/>
      <c r="AI529" s="1434"/>
      <c r="AJ529" s="1414"/>
    </row>
    <row r="530" spans="26:36" ht="15">
      <c r="Z530" s="1411">
        <v>465</v>
      </c>
      <c r="AA530" s="1417" t="s">
        <v>2491</v>
      </c>
      <c r="AB530" s="1419" t="e">
        <f t="shared" si="51"/>
        <v>#NUM!</v>
      </c>
      <c r="AC530" s="1418" t="e">
        <f t="shared" si="52"/>
        <v>#NUM!</v>
      </c>
      <c r="AD530" s="1413">
        <f t="shared" si="52"/>
        <v>0</v>
      </c>
      <c r="AE530" s="1411">
        <v>30</v>
      </c>
      <c r="AF530" s="1411">
        <f t="shared" si="49"/>
        <v>0</v>
      </c>
      <c r="AG530" s="1412" t="e">
        <f t="shared" si="50"/>
        <v>#NUM!</v>
      </c>
      <c r="AH530" s="1415"/>
      <c r="AI530" s="1434"/>
      <c r="AJ530" s="1414"/>
    </row>
    <row r="531" spans="26:36" ht="15">
      <c r="Z531" s="1411">
        <v>466</v>
      </c>
      <c r="AA531" s="1417" t="s">
        <v>2491</v>
      </c>
      <c r="AB531" s="1419" t="e">
        <f t="shared" si="51"/>
        <v>#NUM!</v>
      </c>
      <c r="AC531" s="1418" t="e">
        <f t="shared" si="52"/>
        <v>#NUM!</v>
      </c>
      <c r="AD531" s="1413">
        <f t="shared" si="52"/>
        <v>0</v>
      </c>
      <c r="AE531" s="1411">
        <v>30</v>
      </c>
      <c r="AF531" s="1411">
        <f t="shared" si="49"/>
        <v>0</v>
      </c>
      <c r="AG531" s="1412" t="e">
        <f t="shared" si="50"/>
        <v>#NUM!</v>
      </c>
      <c r="AH531" s="1415"/>
      <c r="AI531" s="1434"/>
      <c r="AJ531" s="1414"/>
    </row>
    <row r="532" spans="26:36" ht="15">
      <c r="Z532" s="1411">
        <v>467</v>
      </c>
      <c r="AA532" s="1417" t="s">
        <v>2491</v>
      </c>
      <c r="AB532" s="1419" t="e">
        <f t="shared" si="51"/>
        <v>#NUM!</v>
      </c>
      <c r="AC532" s="1418" t="e">
        <f t="shared" ref="AC532:AD546" si="53">+AC531</f>
        <v>#NUM!</v>
      </c>
      <c r="AD532" s="1413">
        <f t="shared" si="53"/>
        <v>0</v>
      </c>
      <c r="AE532" s="1411">
        <v>30</v>
      </c>
      <c r="AF532" s="1411">
        <f t="shared" si="49"/>
        <v>0</v>
      </c>
      <c r="AG532" s="1412" t="e">
        <f t="shared" si="50"/>
        <v>#NUM!</v>
      </c>
      <c r="AH532" s="1415"/>
      <c r="AI532" s="1434"/>
      <c r="AJ532" s="1414"/>
    </row>
    <row r="533" spans="26:36" ht="15">
      <c r="Z533" s="1411">
        <v>468</v>
      </c>
      <c r="AA533" s="1417" t="s">
        <v>2491</v>
      </c>
      <c r="AB533" s="1419" t="e">
        <f t="shared" si="51"/>
        <v>#NUM!</v>
      </c>
      <c r="AC533" s="1418" t="e">
        <f t="shared" si="53"/>
        <v>#NUM!</v>
      </c>
      <c r="AD533" s="1413">
        <f t="shared" si="53"/>
        <v>0</v>
      </c>
      <c r="AE533" s="1411">
        <v>30</v>
      </c>
      <c r="AF533" s="1411">
        <f t="shared" si="49"/>
        <v>0</v>
      </c>
      <c r="AG533" s="1412" t="e">
        <f t="shared" si="50"/>
        <v>#NUM!</v>
      </c>
      <c r="AH533" s="1415"/>
      <c r="AI533" s="1434"/>
      <c r="AJ533" s="1414"/>
    </row>
    <row r="534" spans="26:36" ht="15">
      <c r="Z534" s="1411">
        <v>469</v>
      </c>
      <c r="AA534" s="1417" t="s">
        <v>2491</v>
      </c>
      <c r="AB534" s="1419" t="e">
        <f t="shared" si="51"/>
        <v>#NUM!</v>
      </c>
      <c r="AC534" s="1418" t="e">
        <f t="shared" si="53"/>
        <v>#NUM!</v>
      </c>
      <c r="AD534" s="1413">
        <f t="shared" si="53"/>
        <v>0</v>
      </c>
      <c r="AE534" s="1411">
        <v>30</v>
      </c>
      <c r="AF534" s="1411">
        <f t="shared" si="49"/>
        <v>0</v>
      </c>
      <c r="AG534" s="1412" t="e">
        <f t="shared" si="50"/>
        <v>#NUM!</v>
      </c>
      <c r="AH534" s="1415"/>
      <c r="AI534" s="1434"/>
      <c r="AJ534" s="1414"/>
    </row>
    <row r="535" spans="26:36" ht="15">
      <c r="Z535" s="1411">
        <v>470</v>
      </c>
      <c r="AA535" s="1417" t="s">
        <v>2491</v>
      </c>
      <c r="AB535" s="1419" t="e">
        <f t="shared" si="51"/>
        <v>#NUM!</v>
      </c>
      <c r="AC535" s="1418" t="e">
        <f t="shared" si="53"/>
        <v>#NUM!</v>
      </c>
      <c r="AD535" s="1413">
        <f t="shared" si="53"/>
        <v>0</v>
      </c>
      <c r="AE535" s="1411">
        <v>30</v>
      </c>
      <c r="AF535" s="1411">
        <f t="shared" si="49"/>
        <v>0</v>
      </c>
      <c r="AG535" s="1412" t="e">
        <f t="shared" si="50"/>
        <v>#NUM!</v>
      </c>
      <c r="AH535" s="1415"/>
      <c r="AI535" s="1434"/>
      <c r="AJ535" s="1414"/>
    </row>
    <row r="536" spans="26:36" ht="15">
      <c r="Z536" s="1411">
        <v>471</v>
      </c>
      <c r="AA536" s="1417" t="s">
        <v>2491</v>
      </c>
      <c r="AB536" s="1419" t="e">
        <f t="shared" si="51"/>
        <v>#NUM!</v>
      </c>
      <c r="AC536" s="1418" t="e">
        <f t="shared" si="53"/>
        <v>#NUM!</v>
      </c>
      <c r="AD536" s="1413">
        <f t="shared" si="53"/>
        <v>0</v>
      </c>
      <c r="AE536" s="1411">
        <v>30</v>
      </c>
      <c r="AF536" s="1411">
        <f t="shared" si="49"/>
        <v>0</v>
      </c>
      <c r="AG536" s="1412" t="e">
        <f t="shared" si="50"/>
        <v>#NUM!</v>
      </c>
      <c r="AH536" s="1415"/>
      <c r="AI536" s="1434"/>
      <c r="AJ536" s="1414"/>
    </row>
    <row r="537" spans="26:36" ht="15">
      <c r="Z537" s="1411">
        <v>472</v>
      </c>
      <c r="AA537" s="1417" t="s">
        <v>2491</v>
      </c>
      <c r="AB537" s="1419" t="e">
        <f t="shared" si="51"/>
        <v>#NUM!</v>
      </c>
      <c r="AC537" s="1418" t="e">
        <f t="shared" si="53"/>
        <v>#NUM!</v>
      </c>
      <c r="AD537" s="1413">
        <f t="shared" si="53"/>
        <v>0</v>
      </c>
      <c r="AE537" s="1411">
        <v>30</v>
      </c>
      <c r="AF537" s="1411">
        <f t="shared" si="49"/>
        <v>0</v>
      </c>
      <c r="AG537" s="1412" t="e">
        <f t="shared" si="50"/>
        <v>#NUM!</v>
      </c>
      <c r="AH537" s="1415"/>
      <c r="AI537" s="1434"/>
      <c r="AJ537" s="1414"/>
    </row>
    <row r="538" spans="26:36" ht="15">
      <c r="Z538" s="1411">
        <v>473</v>
      </c>
      <c r="AA538" s="1417" t="s">
        <v>2491</v>
      </c>
      <c r="AB538" s="1419" t="e">
        <f t="shared" si="51"/>
        <v>#NUM!</v>
      </c>
      <c r="AC538" s="1418" t="e">
        <f t="shared" si="53"/>
        <v>#NUM!</v>
      </c>
      <c r="AD538" s="1413">
        <f t="shared" si="53"/>
        <v>0</v>
      </c>
      <c r="AE538" s="1411">
        <v>30</v>
      </c>
      <c r="AF538" s="1411">
        <f t="shared" si="49"/>
        <v>0</v>
      </c>
      <c r="AG538" s="1412" t="e">
        <f t="shared" si="50"/>
        <v>#NUM!</v>
      </c>
      <c r="AH538" s="1415"/>
      <c r="AI538" s="1434"/>
      <c r="AJ538" s="1414"/>
    </row>
    <row r="539" spans="26:36" ht="15">
      <c r="Z539" s="1411">
        <v>474</v>
      </c>
      <c r="AA539" s="1417" t="s">
        <v>2491</v>
      </c>
      <c r="AB539" s="1419" t="e">
        <f t="shared" si="51"/>
        <v>#NUM!</v>
      </c>
      <c r="AC539" s="1418" t="e">
        <f t="shared" si="53"/>
        <v>#NUM!</v>
      </c>
      <c r="AD539" s="1413">
        <f t="shared" si="53"/>
        <v>0</v>
      </c>
      <c r="AE539" s="1411">
        <v>30</v>
      </c>
      <c r="AF539" s="1411">
        <f t="shared" si="49"/>
        <v>0</v>
      </c>
      <c r="AG539" s="1412" t="e">
        <f t="shared" si="50"/>
        <v>#NUM!</v>
      </c>
      <c r="AH539" s="1415"/>
      <c r="AI539" s="1434"/>
      <c r="AJ539" s="1414"/>
    </row>
    <row r="540" spans="26:36" ht="15">
      <c r="Z540" s="1411">
        <v>475</v>
      </c>
      <c r="AA540" s="1417" t="s">
        <v>2491</v>
      </c>
      <c r="AB540" s="1419" t="e">
        <f t="shared" si="51"/>
        <v>#NUM!</v>
      </c>
      <c r="AC540" s="1418" t="e">
        <f t="shared" si="53"/>
        <v>#NUM!</v>
      </c>
      <c r="AD540" s="1413">
        <f t="shared" si="53"/>
        <v>0</v>
      </c>
      <c r="AE540" s="1411">
        <v>30</v>
      </c>
      <c r="AF540" s="1411">
        <f t="shared" si="49"/>
        <v>0</v>
      </c>
      <c r="AG540" s="1412" t="e">
        <f t="shared" si="50"/>
        <v>#NUM!</v>
      </c>
      <c r="AH540" s="1415"/>
      <c r="AI540" s="1434"/>
      <c r="AJ540" s="1414"/>
    </row>
    <row r="541" spans="26:36" ht="15">
      <c r="Z541" s="1411">
        <v>476</v>
      </c>
      <c r="AA541" s="1417" t="s">
        <v>2491</v>
      </c>
      <c r="AB541" s="1419" t="e">
        <f t="shared" si="51"/>
        <v>#NUM!</v>
      </c>
      <c r="AC541" s="1418" t="e">
        <f t="shared" si="53"/>
        <v>#NUM!</v>
      </c>
      <c r="AD541" s="1413">
        <f t="shared" si="53"/>
        <v>0</v>
      </c>
      <c r="AE541" s="1411">
        <v>30</v>
      </c>
      <c r="AF541" s="1411">
        <f t="shared" si="49"/>
        <v>0</v>
      </c>
      <c r="AG541" s="1412" t="e">
        <f t="shared" si="50"/>
        <v>#NUM!</v>
      </c>
      <c r="AH541" s="1415"/>
      <c r="AI541" s="1434"/>
      <c r="AJ541" s="1414"/>
    </row>
    <row r="542" spans="26:36" ht="15">
      <c r="Z542" s="1411">
        <v>477</v>
      </c>
      <c r="AA542" s="1417" t="s">
        <v>2491</v>
      </c>
      <c r="AB542" s="1419" t="e">
        <f t="shared" si="51"/>
        <v>#NUM!</v>
      </c>
      <c r="AC542" s="1418" t="e">
        <f t="shared" si="53"/>
        <v>#NUM!</v>
      </c>
      <c r="AD542" s="1413">
        <f t="shared" si="53"/>
        <v>0</v>
      </c>
      <c r="AE542" s="1411">
        <v>30</v>
      </c>
      <c r="AF542" s="1411">
        <f t="shared" si="49"/>
        <v>0</v>
      </c>
      <c r="AG542" s="1412" t="e">
        <f t="shared" si="50"/>
        <v>#NUM!</v>
      </c>
      <c r="AH542" s="1415"/>
      <c r="AI542" s="1434"/>
      <c r="AJ542" s="1414"/>
    </row>
    <row r="543" spans="26:36" ht="15">
      <c r="Z543" s="1411">
        <v>478</v>
      </c>
      <c r="AA543" s="1417" t="s">
        <v>2491</v>
      </c>
      <c r="AB543" s="1419" t="e">
        <f t="shared" si="51"/>
        <v>#NUM!</v>
      </c>
      <c r="AC543" s="1418" t="e">
        <f t="shared" si="53"/>
        <v>#NUM!</v>
      </c>
      <c r="AD543" s="1413">
        <f t="shared" si="53"/>
        <v>0</v>
      </c>
      <c r="AE543" s="1411">
        <v>30</v>
      </c>
      <c r="AF543" s="1411">
        <f t="shared" si="49"/>
        <v>0</v>
      </c>
      <c r="AG543" s="1412" t="e">
        <f t="shared" si="50"/>
        <v>#NUM!</v>
      </c>
      <c r="AH543" s="1415"/>
      <c r="AI543" s="1434"/>
      <c r="AJ543" s="1414"/>
    </row>
    <row r="544" spans="26:36" ht="15">
      <c r="Z544" s="1411">
        <v>479</v>
      </c>
      <c r="AA544" s="1417" t="s">
        <v>2491</v>
      </c>
      <c r="AB544" s="1419" t="e">
        <f t="shared" si="51"/>
        <v>#NUM!</v>
      </c>
      <c r="AC544" s="1418" t="e">
        <f t="shared" si="53"/>
        <v>#NUM!</v>
      </c>
      <c r="AD544" s="1413">
        <f t="shared" si="53"/>
        <v>0</v>
      </c>
      <c r="AE544" s="1411">
        <v>30</v>
      </c>
      <c r="AF544" s="1411">
        <f t="shared" si="49"/>
        <v>0</v>
      </c>
      <c r="AG544" s="1412" t="e">
        <f t="shared" si="50"/>
        <v>#NUM!</v>
      </c>
      <c r="AH544" s="1415"/>
      <c r="AI544" s="1434"/>
      <c r="AJ544" s="1414"/>
    </row>
    <row r="545" spans="26:36" ht="15">
      <c r="Z545" s="1411">
        <v>480</v>
      </c>
      <c r="AA545" s="1417" t="s">
        <v>2491</v>
      </c>
      <c r="AB545" s="1419" t="e">
        <f t="shared" si="51"/>
        <v>#NUM!</v>
      </c>
      <c r="AC545" s="1418" t="e">
        <f t="shared" si="53"/>
        <v>#NUM!</v>
      </c>
      <c r="AD545" s="1413">
        <f t="shared" si="53"/>
        <v>0</v>
      </c>
      <c r="AE545" s="1411">
        <v>30</v>
      </c>
      <c r="AF545" s="1411">
        <f t="shared" si="49"/>
        <v>0</v>
      </c>
      <c r="AG545" s="1412" t="e">
        <f t="shared" si="50"/>
        <v>#NUM!</v>
      </c>
      <c r="AH545" s="1415"/>
      <c r="AI545" s="1434"/>
      <c r="AJ545" s="1414"/>
    </row>
    <row r="546" spans="26:36" ht="15">
      <c r="Z546" s="1411"/>
      <c r="AA546" s="1414"/>
      <c r="AB546" s="1419"/>
      <c r="AC546" s="1412"/>
      <c r="AD546" s="1413">
        <f t="shared" si="53"/>
        <v>0</v>
      </c>
      <c r="AE546" s="1411">
        <v>30</v>
      </c>
      <c r="AF546" s="1411">
        <f t="shared" si="49"/>
        <v>0</v>
      </c>
      <c r="AG546" s="1412">
        <f t="shared" si="50"/>
        <v>0</v>
      </c>
      <c r="AH546" s="1415"/>
      <c r="AI546" s="1434"/>
      <c r="AJ546" s="1414"/>
    </row>
  </sheetData>
  <sheetProtection algorithmName="SHA-512" hashValue="+omjJSTsFVzKbYVmRyd3Ykc5eb2ICHG7/MaaGE03eajny19sLtE3Vs2YKej37Jpc48ntJOB/5CFnD81NhyR7Tw==" saltValue="rYRYMbhiN88GvAhFQegUDQ==" spinCount="100000" sheet="1" objects="1" scenarios="1"/>
  <mergeCells count="114">
    <mergeCell ref="K3:L6"/>
    <mergeCell ref="K7:L9"/>
    <mergeCell ref="G58:I58"/>
    <mergeCell ref="E58:F58"/>
    <mergeCell ref="H56:I56"/>
    <mergeCell ref="E56:G56"/>
    <mergeCell ref="B23:C23"/>
    <mergeCell ref="E23:G23"/>
    <mergeCell ref="B46:D46"/>
    <mergeCell ref="B20:G20"/>
    <mergeCell ref="B21:G21"/>
    <mergeCell ref="B24:G24"/>
    <mergeCell ref="B25:G25"/>
    <mergeCell ref="H27:I27"/>
    <mergeCell ref="H18:I18"/>
    <mergeCell ref="H20:I20"/>
    <mergeCell ref="H21:I21"/>
    <mergeCell ref="H24:I24"/>
    <mergeCell ref="H25:I25"/>
    <mergeCell ref="B5:C5"/>
    <mergeCell ref="B6:C6"/>
    <mergeCell ref="B9:C9"/>
    <mergeCell ref="B8:C8"/>
    <mergeCell ref="F12:G12"/>
    <mergeCell ref="P3:T3"/>
    <mergeCell ref="Q5:R5"/>
    <mergeCell ref="P15:S15"/>
    <mergeCell ref="P16:S16"/>
    <mergeCell ref="P18:S18"/>
    <mergeCell ref="P20:S20"/>
    <mergeCell ref="P24:S24"/>
    <mergeCell ref="P21:S21"/>
    <mergeCell ref="P30:S30"/>
    <mergeCell ref="P27:S27"/>
    <mergeCell ref="P25:S25"/>
    <mergeCell ref="P28:S28"/>
    <mergeCell ref="P23:S23"/>
    <mergeCell ref="B15:G15"/>
    <mergeCell ref="B16:G16"/>
    <mergeCell ref="B27:G27"/>
    <mergeCell ref="H12:I12"/>
    <mergeCell ref="H13:I13"/>
    <mergeCell ref="B18:G18"/>
    <mergeCell ref="F13:G13"/>
    <mergeCell ref="H23:I23"/>
    <mergeCell ref="B12:C12"/>
    <mergeCell ref="B13:C13"/>
    <mergeCell ref="H15:I15"/>
    <mergeCell ref="H16:I16"/>
    <mergeCell ref="B22:G22"/>
    <mergeCell ref="H22:I22"/>
    <mergeCell ref="B3:H3"/>
    <mergeCell ref="D5:E5"/>
    <mergeCell ref="H6:I6"/>
    <mergeCell ref="H5:I5"/>
    <mergeCell ref="H7:I7"/>
    <mergeCell ref="H8:I8"/>
    <mergeCell ref="H9:I9"/>
    <mergeCell ref="H10:I10"/>
    <mergeCell ref="H11:I11"/>
    <mergeCell ref="F5:G5"/>
    <mergeCell ref="F11:G11"/>
    <mergeCell ref="F6:G6"/>
    <mergeCell ref="F7:G7"/>
    <mergeCell ref="F8:G8"/>
    <mergeCell ref="F9:G9"/>
    <mergeCell ref="F10:G10"/>
    <mergeCell ref="B7:C7"/>
    <mergeCell ref="B10:C10"/>
    <mergeCell ref="B11:C11"/>
    <mergeCell ref="P35:S35"/>
    <mergeCell ref="H34:I34"/>
    <mergeCell ref="H35:I35"/>
    <mergeCell ref="B28:G28"/>
    <mergeCell ref="B30:G30"/>
    <mergeCell ref="B31:G31"/>
    <mergeCell ref="B32:G32"/>
    <mergeCell ref="B34:G34"/>
    <mergeCell ref="B35:G35"/>
    <mergeCell ref="P31:S31"/>
    <mergeCell ref="P32:S32"/>
    <mergeCell ref="P34:S34"/>
    <mergeCell ref="H28:I28"/>
    <mergeCell ref="H30:I30"/>
    <mergeCell ref="H31:I31"/>
    <mergeCell ref="H32:I32"/>
    <mergeCell ref="G37:H37"/>
    <mergeCell ref="G38:H38"/>
    <mergeCell ref="G39:H39"/>
    <mergeCell ref="G40:H40"/>
    <mergeCell ref="G41:H41"/>
    <mergeCell ref="G42:H42"/>
    <mergeCell ref="G43:H43"/>
    <mergeCell ref="G44:H44"/>
    <mergeCell ref="C37:F37"/>
    <mergeCell ref="C38:F38"/>
    <mergeCell ref="C39:F39"/>
    <mergeCell ref="C40:F40"/>
    <mergeCell ref="C41:F41"/>
    <mergeCell ref="C42:F42"/>
    <mergeCell ref="C43:F43"/>
    <mergeCell ref="C44:F44"/>
    <mergeCell ref="B48:C48"/>
    <mergeCell ref="B50:C50"/>
    <mergeCell ref="B52:C52"/>
    <mergeCell ref="B54:C54"/>
    <mergeCell ref="H48:I48"/>
    <mergeCell ref="E50:F50"/>
    <mergeCell ref="E54:F54"/>
    <mergeCell ref="H52:I52"/>
    <mergeCell ref="G54:I54"/>
    <mergeCell ref="E48:G48"/>
    <mergeCell ref="E52:G52"/>
    <mergeCell ref="G50:I50"/>
  </mergeCells>
  <dataValidations count="5">
    <dataValidation type="decimal" operator="lessThanOrEqual" allowBlank="1" showInputMessage="1" showErrorMessage="1" error="Must be less than or equal to 2%" sqref="D48 D50 D52 D54" xr:uid="{00000000-0002-0000-1600-000000000000}">
      <formula1>0.02</formula1>
    </dataValidation>
    <dataValidation type="decimal" operator="greaterThanOrEqual" allowBlank="1" showInputMessage="1" showErrorMessage="1" error="Must be greater than or equal to 3%" sqref="D56" xr:uid="{00000000-0002-0000-1600-000001000000}">
      <formula1>0.03</formula1>
    </dataValidation>
    <dataValidation type="whole" allowBlank="1" showInputMessage="1" showErrorMessage="1" sqref="L10" xr:uid="{0B39F265-E552-4166-BAEF-C82365397C8A}">
      <formula1>1</formula1>
      <formula2>30000000</formula2>
    </dataValidation>
    <dataValidation type="decimal" allowBlank="1" showInputMessage="1" showErrorMessage="1" sqref="L11" xr:uid="{48F90DED-A2CF-4669-812A-176156736774}">
      <formula1>0</formula1>
      <formula2>0.2</formula2>
    </dataValidation>
    <dataValidation type="whole" allowBlank="1" showInputMessage="1" showErrorMessage="1" sqref="L12" xr:uid="{6E0330E5-DF70-4569-A1C1-21087974FDEA}">
      <formula1>0</formula1>
      <formula2>75</formula2>
    </dataValidation>
  </dataValidations>
  <pageMargins left="0.75" right="0.5" top="0.5" bottom="0.75" header="0" footer="0.5"/>
  <pageSetup scale="80" firstPageNumber="25" orientation="portrait" r:id="rId1"/>
  <headerFooter alignWithMargins="0">
    <oddFooter>&amp;C&amp;A&amp;R&amp;D &amp;T</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pageSetUpPr fitToPage="1"/>
  </sheetPr>
  <dimension ref="A1:DG96"/>
  <sheetViews>
    <sheetView zoomScale="120" zoomScaleNormal="120" workbookViewId="0"/>
  </sheetViews>
  <sheetFormatPr defaultRowHeight="12.75"/>
  <cols>
    <col min="1" max="1" width="4.7109375" style="39" customWidth="1"/>
    <col min="2" max="2" width="28.7109375" style="39" customWidth="1"/>
    <col min="3" max="3" width="6.7109375" style="39" customWidth="1"/>
    <col min="4" max="18" width="9.5703125" style="39" customWidth="1"/>
    <col min="19" max="19" width="10.140625" style="39" bestFit="1" customWidth="1"/>
    <col min="20" max="42" width="9.5703125" style="39" customWidth="1"/>
    <col min="43" max="65" width="11" style="39" customWidth="1"/>
    <col min="66" max="66" width="11.28515625" style="39" customWidth="1"/>
    <col min="67" max="67" width="10.140625" style="39" customWidth="1"/>
    <col min="68" max="16384" width="9.140625" style="39"/>
  </cols>
  <sheetData>
    <row r="1" spans="1:111">
      <c r="A1" s="1302" t="str">
        <f>IF('FORM 1040-1'!D15="","",'FORM 1040-1'!D15)</f>
        <v/>
      </c>
      <c r="B1" s="1303"/>
      <c r="C1" s="1303"/>
      <c r="D1" s="1303"/>
      <c r="E1" s="1303"/>
      <c r="F1" s="1303"/>
      <c r="G1" s="1303"/>
      <c r="H1" s="1303"/>
      <c r="I1" s="1303"/>
      <c r="J1" s="1303"/>
      <c r="K1" s="1294" t="str">
        <f>IF('FORM 1040-1'!$E$12="","",'FORM 1040-1'!$E$12)</f>
        <v/>
      </c>
      <c r="L1" s="2072" t="s">
        <v>1621</v>
      </c>
      <c r="M1" s="2072"/>
      <c r="N1" s="2072"/>
    </row>
    <row r="2" spans="1:111">
      <c r="L2" s="2072"/>
      <c r="M2" s="2072"/>
      <c r="N2" s="2072"/>
    </row>
    <row r="3" spans="1:111" ht="15" customHeight="1">
      <c r="A3" s="12" t="s">
        <v>20</v>
      </c>
      <c r="B3" s="2075" t="s">
        <v>962</v>
      </c>
      <c r="C3" s="2075"/>
      <c r="D3" s="2075"/>
      <c r="E3" s="2075"/>
      <c r="F3" s="2075"/>
      <c r="G3" s="2075"/>
      <c r="H3" s="2075"/>
      <c r="I3" s="2075"/>
      <c r="J3" s="2075"/>
      <c r="K3" s="2075"/>
      <c r="L3" s="2072"/>
      <c r="M3" s="2072"/>
      <c r="N3" s="2072"/>
      <c r="O3" s="271"/>
      <c r="P3" s="271"/>
      <c r="Q3" s="271"/>
      <c r="R3" s="271"/>
    </row>
    <row r="4" spans="1:111" ht="12.95" customHeight="1" thickBot="1">
      <c r="A4" s="12"/>
      <c r="B4" s="271"/>
      <c r="C4" s="1004"/>
      <c r="D4" s="271"/>
      <c r="E4" s="271"/>
      <c r="F4" s="271"/>
      <c r="G4" s="271"/>
      <c r="H4" s="271"/>
      <c r="I4" s="271"/>
      <c r="J4" s="271"/>
      <c r="K4" s="271"/>
      <c r="L4" s="2072"/>
      <c r="M4" s="2072"/>
      <c r="N4" s="2072"/>
      <c r="O4" s="271"/>
      <c r="P4" s="271"/>
      <c r="Q4" s="271"/>
      <c r="R4" s="271"/>
    </row>
    <row r="5" spans="1:111" ht="15" customHeight="1" thickTop="1" thickBot="1">
      <c r="A5" s="283"/>
      <c r="B5" s="283"/>
      <c r="C5" s="2041" t="s">
        <v>2093</v>
      </c>
      <c r="D5" s="2062" t="s">
        <v>68</v>
      </c>
      <c r="E5" s="2078"/>
      <c r="F5" s="2078"/>
      <c r="G5" s="2078"/>
      <c r="H5" s="2078"/>
      <c r="I5" s="2078"/>
      <c r="J5" s="2078"/>
      <c r="K5" s="2079"/>
      <c r="L5" s="247"/>
      <c r="M5" s="247"/>
      <c r="N5" s="247"/>
      <c r="O5" s="247"/>
      <c r="P5" s="247"/>
      <c r="Q5" s="247"/>
      <c r="R5" s="247"/>
      <c r="S5" s="108"/>
      <c r="T5" s="108"/>
    </row>
    <row r="6" spans="1:111" ht="15" customHeight="1" thickTop="1" thickBot="1">
      <c r="A6" s="1780" t="s">
        <v>98</v>
      </c>
      <c r="B6" s="1843"/>
      <c r="C6" s="2042"/>
      <c r="D6" s="396" t="s">
        <v>69</v>
      </c>
      <c r="E6" s="396" t="s">
        <v>70</v>
      </c>
      <c r="F6" s="396" t="s">
        <v>71</v>
      </c>
      <c r="G6" s="396" t="s">
        <v>72</v>
      </c>
      <c r="H6" s="396" t="s">
        <v>73</v>
      </c>
      <c r="I6" s="396" t="s">
        <v>74</v>
      </c>
      <c r="J6" s="396" t="s">
        <v>75</v>
      </c>
      <c r="K6" s="396" t="s">
        <v>76</v>
      </c>
      <c r="L6" s="88"/>
      <c r="M6" s="88"/>
      <c r="N6" s="88"/>
      <c r="O6" s="88"/>
      <c r="P6" s="88"/>
      <c r="Q6" s="88"/>
      <c r="R6" s="88"/>
      <c r="S6" s="108"/>
      <c r="T6" s="108"/>
    </row>
    <row r="7" spans="1:111" s="399" customFormat="1" ht="15" customHeight="1" thickTop="1" thickBot="1">
      <c r="A7" s="2077" t="s">
        <v>787</v>
      </c>
      <c r="B7" s="2077"/>
      <c r="C7" s="1032" t="str">
        <f>IF('FORM 1040-13'!D48="","",'FORM 1040-13'!D48)</f>
        <v/>
      </c>
      <c r="D7" s="1205">
        <f>+'FORM 1040-13'!D10</f>
        <v>0</v>
      </c>
      <c r="E7" s="1205">
        <f>+D7*(1+'FORM 1040-13'!$D$48)</f>
        <v>0</v>
      </c>
      <c r="F7" s="1205">
        <f>+E7*(1+'FORM 1040-13'!$D$48)</f>
        <v>0</v>
      </c>
      <c r="G7" s="1205">
        <f>+F7*(1+'FORM 1040-13'!$D$48)</f>
        <v>0</v>
      </c>
      <c r="H7" s="1205">
        <f>+G7*(1+'FORM 1040-13'!$D$48)</f>
        <v>0</v>
      </c>
      <c r="I7" s="1205">
        <f>+H7*(1+'FORM 1040-13'!$D$48)</f>
        <v>0</v>
      </c>
      <c r="J7" s="1205">
        <f>+I7*(1+'FORM 1040-13'!$D$48)</f>
        <v>0</v>
      </c>
      <c r="K7" s="1205">
        <f>+J7*(1+'FORM 1040-13'!$D$48)</f>
        <v>0</v>
      </c>
      <c r="L7" s="397"/>
      <c r="M7" s="397"/>
      <c r="N7" s="397"/>
      <c r="O7" s="397"/>
      <c r="P7" s="397"/>
      <c r="Q7" s="397"/>
      <c r="R7" s="397"/>
      <c r="S7" s="398"/>
      <c r="T7" s="108"/>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c r="CK7" s="39"/>
      <c r="CL7" s="39"/>
      <c r="CM7" s="39"/>
      <c r="CN7" s="39"/>
      <c r="CO7" s="39"/>
      <c r="CP7" s="39"/>
      <c r="CQ7" s="39"/>
      <c r="CR7" s="39"/>
      <c r="CS7" s="39"/>
      <c r="CT7" s="39"/>
      <c r="CU7" s="39"/>
      <c r="CV7" s="39"/>
      <c r="CW7" s="39"/>
    </row>
    <row r="8" spans="1:111" s="401" customFormat="1" ht="15" customHeight="1" thickTop="1" thickBot="1">
      <c r="A8" s="2077" t="s">
        <v>788</v>
      </c>
      <c r="B8" s="2077"/>
      <c r="C8" s="1032" t="str">
        <f>IF('FORM 1040-13'!D50="","",'FORM 1040-13'!D50)</f>
        <v/>
      </c>
      <c r="D8" s="1205">
        <f>+'FORM 1040-13'!E10</f>
        <v>0</v>
      </c>
      <c r="E8" s="1205">
        <f>+D8*(1+'FORM 1040-13'!$D$50)</f>
        <v>0</v>
      </c>
      <c r="F8" s="1205">
        <f>+E8*(1+'FORM 1040-13'!$D$50)</f>
        <v>0</v>
      </c>
      <c r="G8" s="1205">
        <f>+F8*(1+'FORM 1040-13'!$D$50)</f>
        <v>0</v>
      </c>
      <c r="H8" s="1205">
        <f>+G8*(1+'FORM 1040-13'!$D$50)</f>
        <v>0</v>
      </c>
      <c r="I8" s="1205">
        <f>+H8*(1+'FORM 1040-13'!$D$50)</f>
        <v>0</v>
      </c>
      <c r="J8" s="1205">
        <f>+I8*(1+'FORM 1040-13'!$D$50)</f>
        <v>0</v>
      </c>
      <c r="K8" s="1205">
        <f>+J8*(1+'FORM 1040-13'!$D$50)</f>
        <v>0</v>
      </c>
      <c r="L8" s="397"/>
      <c r="M8" s="397"/>
      <c r="N8" s="397"/>
      <c r="O8" s="397"/>
      <c r="P8" s="397"/>
      <c r="Q8" s="397"/>
      <c r="R8" s="397"/>
      <c r="S8" s="400"/>
      <c r="T8" s="108"/>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row>
    <row r="9" spans="1:111" s="401" customFormat="1" ht="15" customHeight="1" thickTop="1" thickBot="1">
      <c r="A9" s="2077" t="s">
        <v>84</v>
      </c>
      <c r="B9" s="2077"/>
      <c r="C9" s="1032" t="str">
        <f>IF('FORM 1040-13'!D52="","",'FORM 1040-13'!D52)</f>
        <v/>
      </c>
      <c r="D9" s="1205">
        <f>+'FORM 1040-13'!F10</f>
        <v>0</v>
      </c>
      <c r="E9" s="1205">
        <f>+D9*(1+'FORM 1040-13'!$D$52)</f>
        <v>0</v>
      </c>
      <c r="F9" s="1205">
        <f>+E9*(1+'FORM 1040-13'!$D$52)</f>
        <v>0</v>
      </c>
      <c r="G9" s="1205">
        <f>+F9*(1+'FORM 1040-13'!$D$52)</f>
        <v>0</v>
      </c>
      <c r="H9" s="1205">
        <f>+G9*(1+'FORM 1040-13'!$D$52)</f>
        <v>0</v>
      </c>
      <c r="I9" s="1205">
        <f>+H9*(1+'FORM 1040-13'!$D$52)</f>
        <v>0</v>
      </c>
      <c r="J9" s="1205">
        <f>+I9*(1+'FORM 1040-13'!$D$52)</f>
        <v>0</v>
      </c>
      <c r="K9" s="1205">
        <f>+J9*(1+'FORM 1040-13'!$D$52)</f>
        <v>0</v>
      </c>
      <c r="L9" s="397"/>
      <c r="M9" s="397"/>
      <c r="N9" s="397"/>
      <c r="O9" s="397"/>
      <c r="P9" s="397"/>
      <c r="Q9" s="397"/>
      <c r="R9" s="397"/>
      <c r="S9" s="400"/>
      <c r="T9" s="108"/>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row>
    <row r="10" spans="1:111" ht="15" customHeight="1" thickTop="1" thickBot="1">
      <c r="A10" s="2065" t="s">
        <v>730</v>
      </c>
      <c r="B10" s="2066"/>
      <c r="C10" s="2067"/>
      <c r="D10" s="1203">
        <f t="shared" ref="D10:K10" si="0">SUM(D7:D9)</f>
        <v>0</v>
      </c>
      <c r="E10" s="1203">
        <f t="shared" si="0"/>
        <v>0</v>
      </c>
      <c r="F10" s="1203">
        <f t="shared" si="0"/>
        <v>0</v>
      </c>
      <c r="G10" s="1203">
        <f t="shared" si="0"/>
        <v>0</v>
      </c>
      <c r="H10" s="1203">
        <f t="shared" si="0"/>
        <v>0</v>
      </c>
      <c r="I10" s="1203">
        <f t="shared" si="0"/>
        <v>0</v>
      </c>
      <c r="J10" s="1203">
        <f t="shared" si="0"/>
        <v>0</v>
      </c>
      <c r="K10" s="1203">
        <f t="shared" si="0"/>
        <v>0</v>
      </c>
      <c r="L10" s="397"/>
      <c r="M10" s="397"/>
      <c r="N10" s="397"/>
      <c r="O10" s="397"/>
      <c r="P10" s="397"/>
      <c r="Q10" s="397"/>
      <c r="R10" s="397"/>
      <c r="S10" s="108"/>
      <c r="T10" s="108"/>
    </row>
    <row r="11" spans="1:111" ht="6" customHeight="1" thickTop="1" thickBot="1">
      <c r="A11" s="2045"/>
      <c r="B11" s="2045"/>
      <c r="C11" s="1030"/>
      <c r="D11" s="1210"/>
      <c r="E11" s="1210"/>
      <c r="F11" s="1210"/>
      <c r="G11" s="1210"/>
      <c r="H11" s="1210"/>
      <c r="I11" s="1210"/>
      <c r="J11" s="1210"/>
      <c r="K11" s="1210"/>
      <c r="L11" s="402"/>
      <c r="M11" s="402"/>
      <c r="N11" s="402"/>
      <c r="O11" s="402"/>
      <c r="P11" s="402"/>
      <c r="Q11" s="402"/>
      <c r="R11" s="402"/>
      <c r="S11" s="108"/>
      <c r="T11" s="108"/>
    </row>
    <row r="12" spans="1:111" s="401" customFormat="1" ht="15" customHeight="1" thickTop="1" thickBot="1">
      <c r="A12" s="2077" t="s">
        <v>731</v>
      </c>
      <c r="B12" s="2077"/>
      <c r="C12" s="1032" t="str">
        <f>IF('FORM 1040-13'!D54="","",'FORM 1040-13'!D54)</f>
        <v/>
      </c>
      <c r="D12" s="1205">
        <f>+'FORM 1040-13'!H12</f>
        <v>0</v>
      </c>
      <c r="E12" s="1205">
        <f>+D12*(1+'FORM 1040-13'!$D$54)</f>
        <v>0</v>
      </c>
      <c r="F12" s="1205">
        <f>+E12*(1+'FORM 1040-13'!$D$54)</f>
        <v>0</v>
      </c>
      <c r="G12" s="1205">
        <f>+F12*(1+'FORM 1040-13'!$D$54)</f>
        <v>0</v>
      </c>
      <c r="H12" s="1205">
        <f>+G12*(1+'FORM 1040-13'!$D$54)</f>
        <v>0</v>
      </c>
      <c r="I12" s="1205">
        <f>+H12*(1+'FORM 1040-13'!$D$54)</f>
        <v>0</v>
      </c>
      <c r="J12" s="1205">
        <f>+I12*(1+'FORM 1040-13'!$D$54)</f>
        <v>0</v>
      </c>
      <c r="K12" s="1203">
        <f>+J12*(1+'FORM 1040-13'!$D$54)</f>
        <v>0</v>
      </c>
      <c r="L12" s="397"/>
      <c r="M12" s="397"/>
      <c r="N12" s="397"/>
      <c r="O12" s="397"/>
      <c r="P12" s="397"/>
      <c r="Q12" s="397"/>
      <c r="R12" s="397"/>
      <c r="S12" s="400"/>
      <c r="T12" s="108"/>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row>
    <row r="13" spans="1:111" ht="6" customHeight="1" thickTop="1" thickBot="1">
      <c r="A13" s="2044"/>
      <c r="B13" s="2044"/>
      <c r="C13" s="1030"/>
      <c r="D13" s="1210"/>
      <c r="E13" s="1210"/>
      <c r="F13" s="1210"/>
      <c r="G13" s="1210"/>
      <c r="H13" s="1210"/>
      <c r="I13" s="1210"/>
      <c r="J13" s="1210"/>
      <c r="K13" s="1210"/>
      <c r="L13" s="402"/>
      <c r="M13" s="402"/>
      <c r="N13" s="402"/>
      <c r="O13" s="402"/>
      <c r="P13" s="402"/>
      <c r="Q13" s="402"/>
      <c r="R13" s="402"/>
      <c r="S13" s="108"/>
      <c r="T13" s="108"/>
    </row>
    <row r="14" spans="1:111" s="404" customFormat="1" ht="15" customHeight="1" thickTop="1" thickBot="1">
      <c r="A14" s="2080" t="s">
        <v>2382</v>
      </c>
      <c r="B14" s="2080"/>
      <c r="C14" s="1032" t="str">
        <f>IF('FORM 1040-13'!D56="","",'FORM 1040-13'!D56)</f>
        <v/>
      </c>
      <c r="D14" s="1205">
        <f>+'FORM 1040-13'!H16</f>
        <v>0</v>
      </c>
      <c r="E14" s="1205">
        <f>+D14*(1+'FORM 1040-13'!$D$56)</f>
        <v>0</v>
      </c>
      <c r="F14" s="1205">
        <f>+E14*(1+'FORM 1040-13'!$D$56)</f>
        <v>0</v>
      </c>
      <c r="G14" s="1205">
        <f>+F14*(1+'FORM 1040-13'!$D$56)</f>
        <v>0</v>
      </c>
      <c r="H14" s="1205">
        <f>+G14*(1+'FORM 1040-13'!$D$56)</f>
        <v>0</v>
      </c>
      <c r="I14" s="1205">
        <f>+H14*(1+'FORM 1040-13'!$D$56)</f>
        <v>0</v>
      </c>
      <c r="J14" s="1205">
        <f>+I14*(1+'FORM 1040-13'!$D$56)</f>
        <v>0</v>
      </c>
      <c r="K14" s="1203">
        <f>+J14*(1+'FORM 1040-13'!$D$56)</f>
        <v>0</v>
      </c>
      <c r="L14" s="397"/>
      <c r="M14" s="397"/>
      <c r="N14" s="397"/>
      <c r="O14" s="397"/>
      <c r="P14" s="397"/>
      <c r="Q14" s="397"/>
      <c r="R14" s="397"/>
      <c r="S14" s="400"/>
      <c r="T14" s="403"/>
      <c r="CX14" s="401"/>
      <c r="CY14" s="401"/>
      <c r="CZ14" s="401"/>
      <c r="DA14" s="401"/>
      <c r="DB14" s="401"/>
      <c r="DC14" s="401"/>
      <c r="DD14" s="401"/>
      <c r="DE14" s="401"/>
      <c r="DF14" s="401"/>
      <c r="DG14" s="401"/>
    </row>
    <row r="15" spans="1:111" s="404" customFormat="1" ht="6" customHeight="1" thickTop="1" thickBot="1">
      <c r="A15" s="2043"/>
      <c r="B15" s="2043"/>
      <c r="C15" s="1031"/>
      <c r="D15" s="405"/>
      <c r="E15" s="405"/>
      <c r="F15" s="405"/>
      <c r="G15" s="405"/>
      <c r="H15" s="405"/>
      <c r="I15" s="405"/>
      <c r="J15" s="405"/>
      <c r="K15" s="405"/>
      <c r="L15" s="406"/>
      <c r="M15" s="406"/>
      <c r="N15" s="406"/>
      <c r="O15" s="406"/>
      <c r="P15" s="406"/>
      <c r="Q15" s="406"/>
      <c r="R15" s="406"/>
      <c r="S15" s="400"/>
      <c r="T15" s="403"/>
      <c r="CX15" s="401"/>
      <c r="CY15" s="401"/>
      <c r="CZ15" s="401"/>
      <c r="DA15" s="401"/>
      <c r="DB15" s="401"/>
      <c r="DC15" s="401"/>
      <c r="DD15" s="401"/>
      <c r="DE15" s="401"/>
      <c r="DF15" s="401"/>
      <c r="DG15" s="401"/>
    </row>
    <row r="16" spans="1:111" s="404" customFormat="1" ht="27" customHeight="1" thickTop="1" thickBot="1">
      <c r="A16" s="2053" t="s">
        <v>250</v>
      </c>
      <c r="B16" s="2054"/>
      <c r="C16" s="2055"/>
      <c r="D16" s="1205">
        <f>+D10+D12-D14</f>
        <v>0</v>
      </c>
      <c r="E16" s="1205">
        <f t="shared" ref="E16:K16" si="1">+E10+E12-E14</f>
        <v>0</v>
      </c>
      <c r="F16" s="1205">
        <f t="shared" si="1"/>
        <v>0</v>
      </c>
      <c r="G16" s="1205">
        <f t="shared" si="1"/>
        <v>0</v>
      </c>
      <c r="H16" s="1205">
        <f t="shared" si="1"/>
        <v>0</v>
      </c>
      <c r="I16" s="1205">
        <f t="shared" si="1"/>
        <v>0</v>
      </c>
      <c r="J16" s="1205">
        <f t="shared" si="1"/>
        <v>0</v>
      </c>
      <c r="K16" s="1205">
        <f t="shared" si="1"/>
        <v>0</v>
      </c>
      <c r="L16" s="407"/>
      <c r="M16" s="407"/>
      <c r="N16" s="407"/>
      <c r="O16" s="407"/>
      <c r="P16" s="407"/>
      <c r="Q16" s="407"/>
      <c r="R16" s="407"/>
      <c r="S16" s="400"/>
      <c r="T16" s="403"/>
      <c r="CX16" s="401"/>
      <c r="CY16" s="401"/>
      <c r="CZ16" s="401"/>
      <c r="DA16" s="401"/>
      <c r="DB16" s="401"/>
      <c r="DC16" s="401"/>
      <c r="DD16" s="401"/>
      <c r="DE16" s="401"/>
      <c r="DF16" s="401"/>
      <c r="DG16" s="401"/>
    </row>
    <row r="17" spans="1:111" s="404" customFormat="1" ht="15" customHeight="1" thickTop="1" thickBot="1">
      <c r="A17" s="2068" t="s">
        <v>85</v>
      </c>
      <c r="B17" s="2069"/>
      <c r="C17" s="1032" t="str">
        <f>IF('FORM 1040-13'!H48="","",'FORM 1040-13'!H48)</f>
        <v/>
      </c>
      <c r="D17" s="1205">
        <f>+'FORM 1040-13'!H20</f>
        <v>0</v>
      </c>
      <c r="E17" s="1209"/>
      <c r="F17" s="1209"/>
      <c r="G17" s="1209"/>
      <c r="H17" s="1209"/>
      <c r="I17" s="1209"/>
      <c r="J17" s="1209"/>
      <c r="K17" s="1209"/>
      <c r="L17" s="407"/>
      <c r="M17" s="407"/>
      <c r="N17" s="407"/>
      <c r="O17" s="407"/>
      <c r="P17" s="407"/>
      <c r="Q17" s="407"/>
      <c r="R17" s="407"/>
      <c r="S17" s="400"/>
      <c r="T17" s="403"/>
      <c r="CX17" s="401"/>
      <c r="CY17" s="401"/>
      <c r="CZ17" s="401"/>
      <c r="DA17" s="401"/>
      <c r="DB17" s="401"/>
      <c r="DC17" s="401"/>
      <c r="DD17" s="401"/>
      <c r="DE17" s="401"/>
      <c r="DF17" s="401"/>
      <c r="DG17" s="401"/>
    </row>
    <row r="18" spans="1:111" s="410" customFormat="1" ht="15" customHeight="1" thickTop="1" thickBot="1">
      <c r="A18" s="2070" t="s">
        <v>2174</v>
      </c>
      <c r="B18" s="2071"/>
      <c r="C18" s="1032" t="str">
        <f>IF('FORM 1040-13'!H52="","",'FORM 1040-13'!H52)</f>
        <v/>
      </c>
      <c r="D18" s="1205">
        <f>+'FORM 1040-13'!H21</f>
        <v>0</v>
      </c>
      <c r="E18" s="1209"/>
      <c r="F18" s="1209"/>
      <c r="G18" s="1209"/>
      <c r="H18" s="1209"/>
      <c r="I18" s="1209"/>
      <c r="J18" s="1209"/>
      <c r="K18" s="1209"/>
      <c r="L18" s="407"/>
      <c r="M18" s="407"/>
      <c r="N18" s="407"/>
      <c r="O18" s="407"/>
      <c r="P18" s="407"/>
      <c r="Q18" s="407"/>
      <c r="R18" s="407"/>
      <c r="S18" s="408"/>
      <c r="T18" s="403"/>
      <c r="U18" s="404"/>
      <c r="V18" s="404"/>
      <c r="W18" s="404"/>
      <c r="X18" s="404"/>
      <c r="Y18" s="404"/>
      <c r="Z18" s="404"/>
      <c r="AA18" s="404"/>
      <c r="AB18" s="404"/>
      <c r="AC18" s="404"/>
      <c r="AD18" s="404"/>
      <c r="AE18" s="404"/>
      <c r="AF18" s="404"/>
      <c r="AG18" s="404"/>
      <c r="AH18" s="404"/>
      <c r="AI18" s="404"/>
      <c r="AJ18" s="404"/>
      <c r="AK18" s="404"/>
      <c r="AL18" s="404"/>
      <c r="AM18" s="404"/>
      <c r="AN18" s="404"/>
      <c r="AO18" s="404"/>
      <c r="AP18" s="404"/>
      <c r="AQ18" s="404"/>
      <c r="AR18" s="404"/>
      <c r="AS18" s="404"/>
      <c r="AT18" s="404"/>
      <c r="AU18" s="404"/>
      <c r="AV18" s="404"/>
      <c r="AW18" s="404"/>
      <c r="AX18" s="404"/>
      <c r="AY18" s="404"/>
      <c r="AZ18" s="404"/>
      <c r="BA18" s="404"/>
      <c r="BB18" s="404"/>
      <c r="BC18" s="404"/>
      <c r="BD18" s="404"/>
      <c r="BE18" s="404"/>
      <c r="BF18" s="404"/>
      <c r="BG18" s="404"/>
      <c r="BH18" s="404"/>
      <c r="BI18" s="404"/>
      <c r="BJ18" s="404"/>
      <c r="BK18" s="404"/>
      <c r="BL18" s="404"/>
      <c r="BM18" s="404"/>
      <c r="BN18" s="404"/>
      <c r="BO18" s="404"/>
      <c r="BP18" s="404"/>
      <c r="BQ18" s="404"/>
      <c r="BR18" s="404"/>
      <c r="BS18" s="404"/>
      <c r="BT18" s="404"/>
      <c r="BU18" s="404"/>
      <c r="BV18" s="404"/>
      <c r="BW18" s="404"/>
      <c r="BX18" s="404"/>
      <c r="BY18" s="404"/>
      <c r="BZ18" s="404"/>
      <c r="CA18" s="404"/>
      <c r="CB18" s="404"/>
      <c r="CC18" s="404"/>
      <c r="CD18" s="404"/>
      <c r="CE18" s="404"/>
      <c r="CF18" s="404"/>
      <c r="CG18" s="404"/>
      <c r="CH18" s="404"/>
      <c r="CI18" s="404"/>
      <c r="CJ18" s="404"/>
      <c r="CK18" s="404"/>
      <c r="CL18" s="404"/>
      <c r="CM18" s="404"/>
      <c r="CN18" s="404"/>
      <c r="CO18" s="404"/>
      <c r="CP18" s="404"/>
      <c r="CQ18" s="404"/>
      <c r="CR18" s="404"/>
      <c r="CS18" s="404"/>
      <c r="CT18" s="404"/>
      <c r="CU18" s="404"/>
      <c r="CV18" s="404"/>
      <c r="CW18" s="404"/>
      <c r="CX18" s="409"/>
      <c r="CY18" s="409"/>
      <c r="CZ18" s="409"/>
      <c r="DA18" s="409"/>
      <c r="DB18" s="409"/>
      <c r="DC18" s="409"/>
      <c r="DD18" s="409"/>
      <c r="DE18" s="409"/>
      <c r="DF18" s="409"/>
      <c r="DG18" s="409"/>
    </row>
    <row r="19" spans="1:111" s="410" customFormat="1" ht="15" customHeight="1" thickTop="1" thickBot="1">
      <c r="A19" s="2053" t="s">
        <v>2500</v>
      </c>
      <c r="B19" s="2054"/>
      <c r="C19" s="2055"/>
      <c r="D19" s="1205">
        <f>+'FORM 1040-13'!H22</f>
        <v>0</v>
      </c>
      <c r="E19" s="1205">
        <f>IF('FORM 1040-13'!$L$10&gt;0,'FORM 1040-13'!$AH78,0)</f>
        <v>0</v>
      </c>
      <c r="F19" s="1205">
        <f>IF('FORM 1040-13'!$L$10&gt;0,'FORM 1040-13'!$AH90,0)</f>
        <v>0</v>
      </c>
      <c r="G19" s="1205">
        <f>IF('FORM 1040-13'!$L$10&gt;0,'FORM 1040-13'!$AH102,0)</f>
        <v>0</v>
      </c>
      <c r="H19" s="1205">
        <f>IF('FORM 1040-13'!$L$10&gt;0,'FORM 1040-13'!$AH114,0)</f>
        <v>0</v>
      </c>
      <c r="I19" s="1205">
        <f>IF('FORM 1040-13'!$L$10&gt;0,'FORM 1040-13'!$AH126,0)</f>
        <v>0</v>
      </c>
      <c r="J19" s="1205">
        <f>IF('FORM 1040-13'!$L$10&gt;0,'FORM 1040-13'!$AH138,0)</f>
        <v>0</v>
      </c>
      <c r="K19" s="1205">
        <f>IF('FORM 1040-13'!$L$10&gt;0,'FORM 1040-13'!$AH150,0)</f>
        <v>0</v>
      </c>
      <c r="L19" s="407"/>
      <c r="M19" s="407"/>
      <c r="N19" s="407"/>
      <c r="O19" s="407"/>
      <c r="P19" s="407"/>
      <c r="Q19" s="407"/>
      <c r="R19" s="407"/>
      <c r="S19" s="408"/>
      <c r="T19" s="403"/>
      <c r="U19" s="404"/>
      <c r="V19" s="404"/>
      <c r="W19" s="404"/>
      <c r="X19" s="404"/>
      <c r="Y19" s="404"/>
      <c r="Z19" s="404"/>
      <c r="AA19" s="404"/>
      <c r="AB19" s="404"/>
      <c r="AC19" s="404"/>
      <c r="AD19" s="404"/>
      <c r="AE19" s="404"/>
      <c r="AF19" s="404"/>
      <c r="AG19" s="404"/>
      <c r="AH19" s="404"/>
      <c r="AI19" s="404"/>
      <c r="AJ19" s="404"/>
      <c r="AK19" s="404"/>
      <c r="AL19" s="404"/>
      <c r="AM19" s="404"/>
      <c r="AN19" s="404"/>
      <c r="AO19" s="404"/>
      <c r="AP19" s="404"/>
      <c r="AQ19" s="404"/>
      <c r="AR19" s="404"/>
      <c r="AS19" s="404"/>
      <c r="AT19" s="404"/>
      <c r="AU19" s="404"/>
      <c r="AV19" s="404"/>
      <c r="AW19" s="404"/>
      <c r="AX19" s="404"/>
      <c r="AY19" s="404"/>
      <c r="AZ19" s="404"/>
      <c r="BA19" s="404"/>
      <c r="BB19" s="404"/>
      <c r="BC19" s="404"/>
      <c r="BD19" s="404"/>
      <c r="BE19" s="404"/>
      <c r="BF19" s="404"/>
      <c r="BG19" s="404"/>
      <c r="BH19" s="404"/>
      <c r="BI19" s="404"/>
      <c r="BJ19" s="404"/>
      <c r="BK19" s="404"/>
      <c r="BL19" s="404"/>
      <c r="BM19" s="404"/>
      <c r="BN19" s="404"/>
      <c r="BO19" s="404"/>
      <c r="BP19" s="404"/>
      <c r="BQ19" s="404"/>
      <c r="BR19" s="404"/>
      <c r="BS19" s="404"/>
      <c r="BT19" s="404"/>
      <c r="BU19" s="404"/>
      <c r="BV19" s="404"/>
      <c r="BW19" s="404"/>
      <c r="BX19" s="404"/>
      <c r="BY19" s="404"/>
      <c r="BZ19" s="404"/>
      <c r="CA19" s="404"/>
      <c r="CB19" s="404"/>
      <c r="CC19" s="404"/>
      <c r="CD19" s="404"/>
      <c r="CE19" s="404"/>
      <c r="CF19" s="404"/>
      <c r="CG19" s="404"/>
      <c r="CH19" s="404"/>
      <c r="CI19" s="404"/>
      <c r="CJ19" s="404"/>
      <c r="CK19" s="404"/>
      <c r="CL19" s="404"/>
      <c r="CM19" s="404"/>
      <c r="CN19" s="404"/>
      <c r="CO19" s="404"/>
      <c r="CP19" s="404"/>
      <c r="CQ19" s="404"/>
      <c r="CR19" s="404"/>
      <c r="CS19" s="404"/>
      <c r="CT19" s="404"/>
      <c r="CU19" s="404"/>
      <c r="CV19" s="404"/>
      <c r="CW19" s="404"/>
      <c r="CX19" s="409"/>
      <c r="CY19" s="409"/>
      <c r="CZ19" s="409"/>
      <c r="DA19" s="409"/>
      <c r="DB19" s="409"/>
      <c r="DC19" s="409"/>
      <c r="DD19" s="409"/>
      <c r="DE19" s="409"/>
      <c r="DF19" s="409"/>
      <c r="DG19" s="409"/>
    </row>
    <row r="20" spans="1:111" s="410" customFormat="1" ht="15" customHeight="1" thickTop="1" thickBot="1">
      <c r="A20" s="2070" t="s">
        <v>2501</v>
      </c>
      <c r="B20" s="2071"/>
      <c r="C20" s="1032" t="str">
        <f>IF('FORM 1040-13'!H56="","",'FORM 1040-13'!H56)</f>
        <v/>
      </c>
      <c r="D20" s="1205">
        <f>+'FORM 1040-13'!H23</f>
        <v>0</v>
      </c>
      <c r="E20" s="1209"/>
      <c r="F20" s="1209"/>
      <c r="G20" s="1209"/>
      <c r="H20" s="1209"/>
      <c r="I20" s="1209"/>
      <c r="J20" s="1209"/>
      <c r="K20" s="1209"/>
      <c r="L20" s="407"/>
      <c r="M20" s="407"/>
      <c r="N20" s="407"/>
      <c r="O20" s="407"/>
      <c r="P20" s="407"/>
      <c r="Q20" s="407"/>
      <c r="R20" s="407"/>
      <c r="S20" s="408"/>
      <c r="T20" s="403"/>
      <c r="U20" s="404"/>
      <c r="V20" s="404"/>
      <c r="W20" s="404"/>
      <c r="X20" s="404"/>
      <c r="Y20" s="404"/>
      <c r="Z20" s="404"/>
      <c r="AA20" s="404"/>
      <c r="AB20" s="404"/>
      <c r="AC20" s="404"/>
      <c r="AD20" s="404"/>
      <c r="AE20" s="404"/>
      <c r="AF20" s="404"/>
      <c r="AG20" s="404"/>
      <c r="AH20" s="404"/>
      <c r="AI20" s="404"/>
      <c r="AJ20" s="404"/>
      <c r="AK20" s="404"/>
      <c r="AL20" s="404"/>
      <c r="AM20" s="404"/>
      <c r="AN20" s="404"/>
      <c r="AO20" s="404"/>
      <c r="AP20" s="404"/>
      <c r="AQ20" s="404"/>
      <c r="AR20" s="404"/>
      <c r="AS20" s="404"/>
      <c r="AT20" s="404"/>
      <c r="AU20" s="404"/>
      <c r="AV20" s="404"/>
      <c r="AW20" s="404"/>
      <c r="AX20" s="404"/>
      <c r="AY20" s="404"/>
      <c r="AZ20" s="404"/>
      <c r="BA20" s="404"/>
      <c r="BB20" s="404"/>
      <c r="BC20" s="404"/>
      <c r="BD20" s="404"/>
      <c r="BE20" s="404"/>
      <c r="BF20" s="404"/>
      <c r="BG20" s="404"/>
      <c r="BH20" s="404"/>
      <c r="BI20" s="404"/>
      <c r="BJ20" s="404"/>
      <c r="BK20" s="404"/>
      <c r="BL20" s="404"/>
      <c r="BM20" s="404"/>
      <c r="BN20" s="404"/>
      <c r="BO20" s="404"/>
      <c r="BP20" s="404"/>
      <c r="BQ20" s="404"/>
      <c r="BR20" s="404"/>
      <c r="BS20" s="404"/>
      <c r="BT20" s="404"/>
      <c r="BU20" s="404"/>
      <c r="BV20" s="404"/>
      <c r="BW20" s="404"/>
      <c r="BX20" s="404"/>
      <c r="BY20" s="404"/>
      <c r="BZ20" s="404"/>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9"/>
      <c r="CY20" s="409"/>
      <c r="CZ20" s="409"/>
      <c r="DA20" s="409"/>
      <c r="DB20" s="409"/>
      <c r="DC20" s="409"/>
      <c r="DD20" s="409"/>
      <c r="DE20" s="409"/>
      <c r="DF20" s="409"/>
      <c r="DG20" s="409"/>
    </row>
    <row r="21" spans="1:111" s="410" customFormat="1" ht="15" customHeight="1" thickTop="1" thickBot="1">
      <c r="A21" s="2053" t="s">
        <v>2092</v>
      </c>
      <c r="B21" s="2054"/>
      <c r="C21" s="2055"/>
      <c r="D21" s="1205">
        <f>+'FORM 1040-13'!H24</f>
        <v>0</v>
      </c>
      <c r="E21" s="1209"/>
      <c r="F21" s="1209"/>
      <c r="G21" s="1209"/>
      <c r="H21" s="1209"/>
      <c r="I21" s="1209"/>
      <c r="J21" s="1209"/>
      <c r="K21" s="1209"/>
      <c r="L21" s="407"/>
      <c r="M21" s="407"/>
      <c r="N21" s="407"/>
      <c r="O21" s="407"/>
      <c r="P21" s="407"/>
      <c r="Q21" s="407"/>
      <c r="R21" s="407"/>
      <c r="S21" s="408"/>
      <c r="T21" s="403"/>
      <c r="U21" s="404"/>
      <c r="V21" s="404"/>
      <c r="W21" s="404"/>
      <c r="X21" s="404"/>
      <c r="Y21" s="404"/>
      <c r="Z21" s="404"/>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c r="AX21" s="404"/>
      <c r="AY21" s="404"/>
      <c r="AZ21" s="404"/>
      <c r="BA21" s="404"/>
      <c r="BB21" s="404"/>
      <c r="BC21" s="404"/>
      <c r="BD21" s="404"/>
      <c r="BE21" s="404"/>
      <c r="BF21" s="404"/>
      <c r="BG21" s="404"/>
      <c r="BH21" s="404"/>
      <c r="BI21" s="404"/>
      <c r="BJ21" s="404"/>
      <c r="BK21" s="404"/>
      <c r="BL21" s="404"/>
      <c r="BM21" s="404"/>
      <c r="BN21" s="404"/>
      <c r="BO21" s="404"/>
      <c r="BP21" s="404"/>
      <c r="BQ21" s="404"/>
      <c r="BR21" s="404"/>
      <c r="BS21" s="404"/>
      <c r="BT21" s="404"/>
      <c r="BU21" s="404"/>
      <c r="BV21" s="404"/>
      <c r="BW21" s="404"/>
      <c r="BX21" s="404"/>
      <c r="BY21" s="404"/>
      <c r="BZ21" s="404"/>
      <c r="CA21" s="404"/>
      <c r="CB21" s="404"/>
      <c r="CC21" s="404"/>
      <c r="CD21" s="404"/>
      <c r="CE21" s="404"/>
      <c r="CF21" s="404"/>
      <c r="CG21" s="404"/>
      <c r="CH21" s="404"/>
      <c r="CI21" s="404"/>
      <c r="CJ21" s="404"/>
      <c r="CK21" s="404"/>
      <c r="CL21" s="404"/>
      <c r="CM21" s="404"/>
      <c r="CN21" s="404"/>
      <c r="CO21" s="404"/>
      <c r="CP21" s="404"/>
      <c r="CQ21" s="404"/>
      <c r="CR21" s="404"/>
      <c r="CS21" s="404"/>
      <c r="CT21" s="404"/>
      <c r="CU21" s="404"/>
      <c r="CV21" s="404"/>
      <c r="CW21" s="404"/>
      <c r="CX21" s="409"/>
      <c r="CY21" s="409"/>
      <c r="CZ21" s="409"/>
      <c r="DA21" s="409"/>
      <c r="DB21" s="409"/>
      <c r="DC21" s="409"/>
      <c r="DD21" s="409"/>
      <c r="DE21" s="409"/>
      <c r="DF21" s="409"/>
      <c r="DG21" s="409"/>
    </row>
    <row r="22" spans="1:111" s="410" customFormat="1" ht="15" customHeight="1" thickTop="1" thickBot="1">
      <c r="A22" s="2048" t="s">
        <v>733</v>
      </c>
      <c r="B22" s="2049"/>
      <c r="C22" s="2050"/>
      <c r="D22" s="1203">
        <f>+D16-D17-D18-D19-D20-D21</f>
        <v>0</v>
      </c>
      <c r="E22" s="1203">
        <f t="shared" ref="E22:K22" si="2">+E16-E17-E18-E19-E20-E21</f>
        <v>0</v>
      </c>
      <c r="F22" s="1203">
        <f t="shared" si="2"/>
        <v>0</v>
      </c>
      <c r="G22" s="1203">
        <f t="shared" si="2"/>
        <v>0</v>
      </c>
      <c r="H22" s="1203">
        <f t="shared" si="2"/>
        <v>0</v>
      </c>
      <c r="I22" s="1203">
        <f t="shared" si="2"/>
        <v>0</v>
      </c>
      <c r="J22" s="1203">
        <f t="shared" si="2"/>
        <v>0</v>
      </c>
      <c r="K22" s="1203">
        <f t="shared" si="2"/>
        <v>0</v>
      </c>
      <c r="L22" s="407"/>
      <c r="M22" s="407"/>
      <c r="N22" s="407"/>
      <c r="O22" s="407"/>
      <c r="P22" s="407"/>
      <c r="Q22" s="407"/>
      <c r="R22" s="407"/>
      <c r="S22" s="408"/>
      <c r="T22" s="403"/>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9"/>
      <c r="CY22" s="409"/>
      <c r="CZ22" s="409"/>
      <c r="DA22" s="409"/>
      <c r="DB22" s="409"/>
      <c r="DC22" s="409"/>
      <c r="DD22" s="409"/>
      <c r="DE22" s="409"/>
      <c r="DF22" s="409"/>
      <c r="DG22" s="409"/>
    </row>
    <row r="23" spans="1:111" s="410" customFormat="1" ht="15" customHeight="1" thickTop="1" thickBot="1">
      <c r="A23" s="2081" t="s">
        <v>1987</v>
      </c>
      <c r="B23" s="2082"/>
      <c r="C23" s="2083"/>
      <c r="D23" s="1204">
        <f>+D22</f>
        <v>0</v>
      </c>
      <c r="E23" s="1204">
        <f>+E22+D23</f>
        <v>0</v>
      </c>
      <c r="F23" s="1204">
        <f t="shared" ref="F23:K23" si="3">+F22+E23</f>
        <v>0</v>
      </c>
      <c r="G23" s="1204">
        <f t="shared" si="3"/>
        <v>0</v>
      </c>
      <c r="H23" s="1204">
        <f t="shared" si="3"/>
        <v>0</v>
      </c>
      <c r="I23" s="1204">
        <f t="shared" si="3"/>
        <v>0</v>
      </c>
      <c r="J23" s="1204">
        <f t="shared" si="3"/>
        <v>0</v>
      </c>
      <c r="K23" s="1204">
        <f t="shared" si="3"/>
        <v>0</v>
      </c>
      <c r="L23" s="407"/>
      <c r="M23" s="407"/>
      <c r="N23" s="407"/>
      <c r="O23" s="407"/>
      <c r="P23" s="407"/>
      <c r="Q23" s="407"/>
      <c r="R23" s="407"/>
      <c r="S23" s="408"/>
      <c r="T23" s="403"/>
      <c r="U23" s="404"/>
      <c r="V23" s="404"/>
      <c r="W23" s="404"/>
      <c r="X23" s="404"/>
      <c r="Y23" s="404"/>
      <c r="Z23" s="404"/>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404"/>
      <c r="BQ23" s="404"/>
      <c r="BR23" s="404"/>
      <c r="BS23" s="404"/>
      <c r="BT23" s="404"/>
      <c r="BU23" s="404"/>
      <c r="BV23" s="404"/>
      <c r="BW23" s="404"/>
      <c r="BX23" s="404"/>
      <c r="BY23" s="404"/>
      <c r="BZ23" s="404"/>
      <c r="CA23" s="404"/>
      <c r="CB23" s="404"/>
      <c r="CC23" s="404"/>
      <c r="CD23" s="404"/>
      <c r="CE23" s="404"/>
      <c r="CF23" s="404"/>
      <c r="CG23" s="404"/>
      <c r="CH23" s="404"/>
      <c r="CI23" s="404"/>
      <c r="CJ23" s="404"/>
      <c r="CK23" s="404"/>
      <c r="CL23" s="404"/>
      <c r="CM23" s="404"/>
      <c r="CN23" s="404"/>
      <c r="CO23" s="404"/>
      <c r="CP23" s="404"/>
      <c r="CQ23" s="404"/>
      <c r="CR23" s="404"/>
      <c r="CS23" s="404"/>
      <c r="CT23" s="404"/>
      <c r="CU23" s="404"/>
      <c r="CV23" s="404"/>
      <c r="CW23" s="404"/>
      <c r="CX23" s="409"/>
      <c r="CY23" s="409"/>
      <c r="CZ23" s="409"/>
      <c r="DA23" s="409"/>
      <c r="DB23" s="409"/>
      <c r="DC23" s="409"/>
      <c r="DD23" s="409"/>
      <c r="DE23" s="409"/>
      <c r="DF23" s="409"/>
      <c r="DG23" s="409"/>
    </row>
    <row r="24" spans="1:111" ht="6" customHeight="1" thickTop="1" thickBot="1">
      <c r="A24" s="2046"/>
      <c r="B24" s="2046"/>
      <c r="C24" s="2046"/>
      <c r="D24" s="405"/>
      <c r="E24" s="405"/>
      <c r="F24" s="405"/>
      <c r="G24" s="405"/>
      <c r="H24" s="405"/>
      <c r="I24" s="405"/>
      <c r="J24" s="405"/>
      <c r="K24" s="405"/>
      <c r="L24" s="406"/>
      <c r="M24" s="406"/>
      <c r="N24" s="406"/>
      <c r="O24" s="406"/>
      <c r="P24" s="406"/>
      <c r="Q24" s="406"/>
      <c r="R24" s="406"/>
      <c r="S24" s="398"/>
      <c r="T24" s="108"/>
      <c r="CX24" s="399"/>
      <c r="CY24" s="399"/>
      <c r="CZ24" s="399"/>
      <c r="DA24" s="399"/>
      <c r="DB24" s="399"/>
      <c r="DC24" s="399"/>
      <c r="DD24" s="399"/>
      <c r="DE24" s="399"/>
      <c r="DF24" s="399"/>
      <c r="DG24" s="399"/>
    </row>
    <row r="25" spans="1:111" s="404" customFormat="1" ht="15" customHeight="1" thickTop="1" thickBot="1">
      <c r="A25" s="2048" t="s">
        <v>735</v>
      </c>
      <c r="B25" s="2049"/>
      <c r="C25" s="2050"/>
      <c r="D25" s="892">
        <f>IF(ISERROR(1+D22/D21),0,1+D22/D21)</f>
        <v>0</v>
      </c>
      <c r="E25" s="892">
        <f>IF(ISERROR(1+E22/E21),0,1+E22/E21)</f>
        <v>0</v>
      </c>
      <c r="F25" s="892">
        <f t="shared" ref="F25:K25" si="4">IF(ISERROR(1+F22/F21),0,1+F22/F21)</f>
        <v>0</v>
      </c>
      <c r="G25" s="892">
        <f t="shared" si="4"/>
        <v>0</v>
      </c>
      <c r="H25" s="892">
        <f t="shared" si="4"/>
        <v>0</v>
      </c>
      <c r="I25" s="892">
        <f t="shared" si="4"/>
        <v>0</v>
      </c>
      <c r="J25" s="892">
        <f t="shared" si="4"/>
        <v>0</v>
      </c>
      <c r="K25" s="892">
        <f t="shared" si="4"/>
        <v>0</v>
      </c>
      <c r="L25" s="412"/>
      <c r="M25" s="412"/>
      <c r="N25" s="412"/>
      <c r="O25" s="412"/>
      <c r="P25" s="412"/>
      <c r="Q25" s="412"/>
      <c r="R25" s="412"/>
      <c r="S25" s="400"/>
      <c r="T25" s="403"/>
      <c r="CX25" s="401"/>
      <c r="CY25" s="401"/>
      <c r="CZ25" s="401"/>
      <c r="DA25" s="401"/>
      <c r="DB25" s="401"/>
      <c r="DC25" s="401"/>
      <c r="DD25" s="401"/>
      <c r="DE25" s="401"/>
      <c r="DF25" s="401"/>
      <c r="DG25" s="401"/>
    </row>
    <row r="26" spans="1:111" s="404" customFormat="1" ht="15" customHeight="1" thickTop="1" thickBot="1">
      <c r="A26" s="2048" t="s">
        <v>1986</v>
      </c>
      <c r="B26" s="2049"/>
      <c r="C26" s="2050"/>
      <c r="D26" s="893">
        <f>IF(ISERROR(+D22/'FORM 1040-2'!$C$42),0,+D22/'FORM 1040-2'!$C$42)</f>
        <v>0</v>
      </c>
      <c r="E26" s="893">
        <f>IF(ISERROR(+E22/'FORM 1040-2'!$C$42),0,+E22/'FORM 1040-2'!$C$42)</f>
        <v>0</v>
      </c>
      <c r="F26" s="893">
        <f>IF(ISERROR(+F22/'FORM 1040-2'!$C$42),0,+F22/'FORM 1040-2'!$C$42)</f>
        <v>0</v>
      </c>
      <c r="G26" s="893">
        <f>IF(ISERROR(+G22/'FORM 1040-2'!$C$42),0,+G22/'FORM 1040-2'!$C$42)</f>
        <v>0</v>
      </c>
      <c r="H26" s="893">
        <f>IF(ISERROR(+H22/'FORM 1040-2'!$C$42),0,+H22/'FORM 1040-2'!$C$42)</f>
        <v>0</v>
      </c>
      <c r="I26" s="893">
        <f>IF(ISERROR(+I22/'FORM 1040-2'!$C$42),0,+I22/'FORM 1040-2'!$C$42)</f>
        <v>0</v>
      </c>
      <c r="J26" s="893">
        <f>IF(ISERROR(+J22/'FORM 1040-2'!$C$42),0,+J22/'FORM 1040-2'!$C$42)</f>
        <v>0</v>
      </c>
      <c r="K26" s="893">
        <f>IF(ISERROR(+K22/'FORM 1040-2'!$C$42),0,+K22/'FORM 1040-2'!$C$42)</f>
        <v>0</v>
      </c>
      <c r="L26" s="412"/>
      <c r="M26" s="412"/>
      <c r="N26" s="412"/>
      <c r="O26" s="412"/>
      <c r="P26" s="412"/>
      <c r="Q26" s="412"/>
      <c r="R26" s="412"/>
      <c r="S26" s="400"/>
      <c r="T26" s="403"/>
      <c r="CX26" s="401"/>
      <c r="CY26" s="401"/>
      <c r="CZ26" s="401"/>
      <c r="DA26" s="401"/>
      <c r="DB26" s="401"/>
      <c r="DC26" s="401"/>
      <c r="DD26" s="401"/>
      <c r="DE26" s="401"/>
      <c r="DF26" s="401"/>
      <c r="DG26" s="401"/>
    </row>
    <row r="27" spans="1:111" ht="6" customHeight="1" thickTop="1" thickBot="1">
      <c r="A27" s="2047"/>
      <c r="B27" s="2047"/>
      <c r="C27" s="2047"/>
      <c r="D27" s="414"/>
      <c r="E27" s="414"/>
      <c r="F27" s="414"/>
      <c r="G27" s="414"/>
      <c r="H27" s="414"/>
      <c r="I27" s="414"/>
      <c r="J27" s="414"/>
      <c r="K27" s="414"/>
      <c r="L27" s="108"/>
      <c r="M27" s="108"/>
      <c r="N27" s="108"/>
      <c r="O27" s="108"/>
      <c r="P27" s="108"/>
      <c r="Q27" s="108"/>
      <c r="R27" s="108"/>
      <c r="S27" s="108"/>
      <c r="T27" s="108"/>
    </row>
    <row r="28" spans="1:111" s="410" customFormat="1" ht="15" customHeight="1" thickTop="1" thickBot="1">
      <c r="A28" s="2048" t="s">
        <v>733</v>
      </c>
      <c r="B28" s="2049"/>
      <c r="C28" s="2050"/>
      <c r="D28" s="1205">
        <f>+D22</f>
        <v>0</v>
      </c>
      <c r="E28" s="1205">
        <f t="shared" ref="E28:K28" si="5">+E22</f>
        <v>0</v>
      </c>
      <c r="F28" s="1205">
        <f t="shared" si="5"/>
        <v>0</v>
      </c>
      <c r="G28" s="1205">
        <f t="shared" si="5"/>
        <v>0</v>
      </c>
      <c r="H28" s="1205">
        <f t="shared" si="5"/>
        <v>0</v>
      </c>
      <c r="I28" s="1205">
        <f t="shared" si="5"/>
        <v>0</v>
      </c>
      <c r="J28" s="1205">
        <f t="shared" si="5"/>
        <v>0</v>
      </c>
      <c r="K28" s="1205">
        <f t="shared" si="5"/>
        <v>0</v>
      </c>
      <c r="L28" s="407"/>
      <c r="M28" s="407"/>
      <c r="N28" s="407"/>
      <c r="O28" s="407"/>
      <c r="P28" s="407"/>
      <c r="Q28" s="407"/>
      <c r="R28" s="407"/>
      <c r="S28" s="408"/>
      <c r="T28" s="403"/>
      <c r="U28" s="404"/>
      <c r="V28" s="404"/>
      <c r="W28" s="404"/>
      <c r="X28" s="404"/>
      <c r="Y28" s="404"/>
      <c r="Z28" s="404"/>
      <c r="AA28" s="404"/>
      <c r="AB28" s="404"/>
      <c r="AC28" s="404"/>
      <c r="AD28" s="404"/>
      <c r="AE28" s="404"/>
      <c r="AF28" s="404"/>
      <c r="AG28" s="404"/>
      <c r="AH28" s="404"/>
      <c r="AI28" s="404"/>
      <c r="AJ28" s="404"/>
      <c r="AK28" s="404"/>
      <c r="AL28" s="404"/>
      <c r="AM28" s="404"/>
      <c r="AN28" s="404"/>
      <c r="AO28" s="404"/>
      <c r="AP28" s="404"/>
      <c r="AQ28" s="404"/>
      <c r="AR28" s="404"/>
      <c r="AS28" s="404"/>
      <c r="AT28" s="404"/>
      <c r="AU28" s="404"/>
      <c r="AV28" s="404"/>
      <c r="AW28" s="404"/>
      <c r="AX28" s="404"/>
      <c r="AY28" s="404"/>
      <c r="AZ28" s="404"/>
      <c r="BA28" s="404"/>
      <c r="BB28" s="404"/>
      <c r="BC28" s="404"/>
      <c r="BD28" s="404"/>
      <c r="BE28" s="404"/>
      <c r="BF28" s="404"/>
      <c r="BG28" s="404"/>
      <c r="BH28" s="404"/>
      <c r="BI28" s="404"/>
      <c r="BJ28" s="404"/>
      <c r="BK28" s="404"/>
      <c r="BL28" s="404"/>
      <c r="BM28" s="404"/>
      <c r="BN28" s="404"/>
      <c r="BO28" s="404"/>
      <c r="BP28" s="404"/>
      <c r="BQ28" s="404"/>
      <c r="BR28" s="404"/>
      <c r="BS28" s="404"/>
      <c r="BT28" s="404"/>
      <c r="BU28" s="404"/>
      <c r="BV28" s="404"/>
      <c r="BW28" s="404"/>
      <c r="BX28" s="404"/>
      <c r="BY28" s="404"/>
      <c r="BZ28" s="404"/>
      <c r="CA28" s="404"/>
      <c r="CB28" s="404"/>
      <c r="CC28" s="404"/>
      <c r="CD28" s="404"/>
      <c r="CE28" s="404"/>
      <c r="CF28" s="404"/>
      <c r="CG28" s="404"/>
      <c r="CH28" s="404"/>
      <c r="CI28" s="404"/>
      <c r="CJ28" s="404"/>
      <c r="CK28" s="404"/>
      <c r="CL28" s="404"/>
      <c r="CM28" s="404"/>
      <c r="CN28" s="404"/>
      <c r="CO28" s="404"/>
      <c r="CP28" s="404"/>
      <c r="CQ28" s="404"/>
      <c r="CR28" s="404"/>
      <c r="CS28" s="404"/>
      <c r="CT28" s="404"/>
      <c r="CU28" s="404"/>
      <c r="CV28" s="404"/>
      <c r="CW28" s="404"/>
      <c r="CX28" s="409"/>
      <c r="CY28" s="409"/>
      <c r="CZ28" s="409"/>
      <c r="DA28" s="409"/>
      <c r="DB28" s="409"/>
      <c r="DC28" s="409"/>
      <c r="DD28" s="409"/>
      <c r="DE28" s="409"/>
      <c r="DF28" s="409"/>
      <c r="DG28" s="409"/>
    </row>
    <row r="29" spans="1:111" s="420" customFormat="1" ht="15" customHeight="1" thickTop="1" thickBot="1">
      <c r="A29" s="2048" t="s">
        <v>734</v>
      </c>
      <c r="B29" s="2049"/>
      <c r="C29" s="2050"/>
      <c r="D29" s="1206">
        <f>+'FORM 1040-13'!H31</f>
        <v>0</v>
      </c>
      <c r="E29" s="1207"/>
      <c r="F29" s="1207"/>
      <c r="G29" s="1207"/>
      <c r="H29" s="1207"/>
      <c r="I29" s="1207"/>
      <c r="J29" s="1207"/>
      <c r="K29" s="1208"/>
      <c r="L29" s="415"/>
      <c r="M29" s="415"/>
      <c r="N29" s="415"/>
      <c r="O29" s="415"/>
      <c r="P29" s="415"/>
      <c r="Q29" s="415"/>
      <c r="R29" s="415"/>
      <c r="S29" s="416"/>
      <c r="T29" s="417"/>
      <c r="U29" s="418"/>
      <c r="V29" s="418"/>
      <c r="W29" s="418"/>
      <c r="X29" s="418"/>
      <c r="Y29" s="418"/>
      <c r="Z29" s="418"/>
      <c r="AA29" s="418"/>
      <c r="AB29" s="418"/>
      <c r="AC29" s="418"/>
      <c r="AD29" s="418"/>
      <c r="AE29" s="418"/>
      <c r="AF29" s="418"/>
      <c r="AG29" s="418"/>
      <c r="AH29" s="418"/>
      <c r="AI29" s="418"/>
      <c r="AJ29" s="418"/>
      <c r="AK29" s="418"/>
      <c r="AL29" s="418"/>
      <c r="AM29" s="418"/>
      <c r="AN29" s="418"/>
      <c r="AO29" s="418"/>
      <c r="AP29" s="418"/>
      <c r="AQ29" s="418"/>
      <c r="AR29" s="418"/>
      <c r="AS29" s="418"/>
      <c r="AT29" s="418"/>
      <c r="AU29" s="418"/>
      <c r="AV29" s="418"/>
      <c r="AW29" s="418"/>
      <c r="AX29" s="418"/>
      <c r="AY29" s="418"/>
      <c r="AZ29" s="418"/>
      <c r="BA29" s="418"/>
      <c r="BB29" s="418"/>
      <c r="BC29" s="418"/>
      <c r="BD29" s="418"/>
      <c r="BE29" s="418"/>
      <c r="BF29" s="418"/>
      <c r="BG29" s="418"/>
      <c r="BH29" s="418"/>
      <c r="BI29" s="418"/>
      <c r="BJ29" s="418"/>
      <c r="BK29" s="418"/>
      <c r="BL29" s="418"/>
      <c r="BM29" s="418"/>
      <c r="BN29" s="418"/>
      <c r="BO29" s="418"/>
      <c r="BP29" s="418"/>
      <c r="BQ29" s="418"/>
      <c r="BR29" s="418"/>
      <c r="BS29" s="418"/>
      <c r="BT29" s="418"/>
      <c r="BU29" s="418"/>
      <c r="BV29" s="418"/>
      <c r="BW29" s="418"/>
      <c r="BX29" s="418"/>
      <c r="BY29" s="418"/>
      <c r="BZ29" s="418"/>
      <c r="CA29" s="418"/>
      <c r="CB29" s="418"/>
      <c r="CC29" s="418"/>
      <c r="CD29" s="418"/>
      <c r="CE29" s="418"/>
      <c r="CF29" s="418"/>
      <c r="CG29" s="418"/>
      <c r="CH29" s="418"/>
      <c r="CI29" s="418"/>
      <c r="CJ29" s="418"/>
      <c r="CK29" s="418"/>
      <c r="CL29" s="418"/>
      <c r="CM29" s="418"/>
      <c r="CN29" s="418"/>
      <c r="CO29" s="418"/>
      <c r="CP29" s="418"/>
      <c r="CQ29" s="418"/>
      <c r="CR29" s="418"/>
      <c r="CS29" s="418"/>
      <c r="CT29" s="418"/>
      <c r="CU29" s="418"/>
      <c r="CV29" s="418"/>
      <c r="CW29" s="418"/>
      <c r="CX29" s="419"/>
      <c r="CY29" s="419"/>
      <c r="CZ29" s="419"/>
      <c r="DA29" s="419"/>
      <c r="DB29" s="419"/>
      <c r="DC29" s="419"/>
      <c r="DD29" s="419"/>
      <c r="DE29" s="419"/>
      <c r="DF29" s="419"/>
      <c r="DG29" s="419"/>
    </row>
    <row r="30" spans="1:111" ht="15" customHeight="1" thickTop="1" thickBot="1">
      <c r="A30" s="2056" t="s">
        <v>736</v>
      </c>
      <c r="B30" s="2057"/>
      <c r="C30" s="2058"/>
      <c r="D30" s="1203">
        <f>+D28-D29</f>
        <v>0</v>
      </c>
      <c r="E30" s="1203">
        <f t="shared" ref="E30:K30" si="6">+E28-E29</f>
        <v>0</v>
      </c>
      <c r="F30" s="1203">
        <f t="shared" si="6"/>
        <v>0</v>
      </c>
      <c r="G30" s="1203">
        <f t="shared" si="6"/>
        <v>0</v>
      </c>
      <c r="H30" s="1203">
        <f t="shared" si="6"/>
        <v>0</v>
      </c>
      <c r="I30" s="1203">
        <f t="shared" si="6"/>
        <v>0</v>
      </c>
      <c r="J30" s="1203">
        <f t="shared" si="6"/>
        <v>0</v>
      </c>
      <c r="K30" s="1203">
        <f t="shared" si="6"/>
        <v>0</v>
      </c>
      <c r="L30" s="407"/>
      <c r="M30" s="407"/>
      <c r="N30" s="407"/>
      <c r="O30" s="407"/>
      <c r="P30" s="407"/>
      <c r="Q30" s="407"/>
      <c r="R30" s="407"/>
      <c r="S30" s="398"/>
      <c r="T30" s="108"/>
      <c r="CX30" s="399"/>
      <c r="CY30" s="399"/>
      <c r="CZ30" s="399"/>
      <c r="DA30" s="399"/>
      <c r="DB30" s="399"/>
      <c r="DC30" s="399"/>
      <c r="DD30" s="399"/>
      <c r="DE30" s="399"/>
      <c r="DF30" s="399"/>
      <c r="DG30" s="399"/>
    </row>
    <row r="31" spans="1:111" ht="15" customHeight="1" thickTop="1" thickBot="1">
      <c r="A31" s="2048" t="s">
        <v>1988</v>
      </c>
      <c r="B31" s="2049"/>
      <c r="C31" s="2050"/>
      <c r="D31" s="1204">
        <f>+D30</f>
        <v>0</v>
      </c>
      <c r="E31" s="1204">
        <f t="shared" ref="E31:K31" si="7">+E30+D31</f>
        <v>0</v>
      </c>
      <c r="F31" s="1204">
        <f t="shared" si="7"/>
        <v>0</v>
      </c>
      <c r="G31" s="1204">
        <f t="shared" si="7"/>
        <v>0</v>
      </c>
      <c r="H31" s="1204">
        <f t="shared" si="7"/>
        <v>0</v>
      </c>
      <c r="I31" s="1204">
        <f t="shared" si="7"/>
        <v>0</v>
      </c>
      <c r="J31" s="1204">
        <f t="shared" si="7"/>
        <v>0</v>
      </c>
      <c r="K31" s="1204">
        <f t="shared" si="7"/>
        <v>0</v>
      </c>
      <c r="L31" s="407"/>
      <c r="M31" s="407"/>
      <c r="N31" s="407"/>
      <c r="O31" s="407"/>
      <c r="P31" s="407"/>
      <c r="Q31" s="407"/>
      <c r="R31" s="407"/>
      <c r="S31" s="398"/>
      <c r="T31" s="108"/>
      <c r="CX31" s="399"/>
      <c r="CY31" s="399"/>
      <c r="CZ31" s="399"/>
      <c r="DA31" s="399"/>
      <c r="DB31" s="399"/>
      <c r="DC31" s="399"/>
      <c r="DD31" s="399"/>
      <c r="DE31" s="399"/>
      <c r="DF31" s="399"/>
      <c r="DG31" s="399"/>
    </row>
    <row r="32" spans="1:111" ht="6" customHeight="1" thickTop="1" thickBot="1">
      <c r="A32" s="2046"/>
      <c r="B32" s="2046"/>
      <c r="C32" s="2046"/>
      <c r="D32" s="405"/>
      <c r="E32" s="405"/>
      <c r="F32" s="405"/>
      <c r="G32" s="405"/>
      <c r="H32" s="405"/>
      <c r="I32" s="405"/>
      <c r="J32" s="405"/>
      <c r="K32" s="405"/>
      <c r="L32" s="406"/>
      <c r="M32" s="406"/>
      <c r="N32" s="406"/>
      <c r="O32" s="406"/>
      <c r="P32" s="406"/>
      <c r="Q32" s="406"/>
      <c r="R32" s="406"/>
      <c r="S32" s="398"/>
      <c r="T32" s="108"/>
      <c r="CX32" s="399"/>
      <c r="CY32" s="399"/>
      <c r="CZ32" s="399"/>
      <c r="DA32" s="399"/>
      <c r="DB32" s="399"/>
      <c r="DC32" s="399"/>
      <c r="DD32" s="399"/>
      <c r="DE32" s="399"/>
      <c r="DF32" s="399"/>
      <c r="DG32" s="399"/>
    </row>
    <row r="33" spans="1:111" s="404" customFormat="1" ht="15" customHeight="1" thickTop="1" thickBot="1">
      <c r="A33" s="2048" t="s">
        <v>737</v>
      </c>
      <c r="B33" s="2049"/>
      <c r="C33" s="2050"/>
      <c r="D33" s="411">
        <f>IF(ISERROR(1+D30/D21),0,1+D30/D21)</f>
        <v>0</v>
      </c>
      <c r="E33" s="892">
        <f t="shared" ref="E33:K33" si="8">IF(ISERROR(1+E30/E21),0,1+E30/E21)</f>
        <v>0</v>
      </c>
      <c r="F33" s="892">
        <f t="shared" si="8"/>
        <v>0</v>
      </c>
      <c r="G33" s="892">
        <f t="shared" si="8"/>
        <v>0</v>
      </c>
      <c r="H33" s="892">
        <f t="shared" si="8"/>
        <v>0</v>
      </c>
      <c r="I33" s="892">
        <f t="shared" si="8"/>
        <v>0</v>
      </c>
      <c r="J33" s="892">
        <f t="shared" si="8"/>
        <v>0</v>
      </c>
      <c r="K33" s="892">
        <f t="shared" si="8"/>
        <v>0</v>
      </c>
      <c r="L33" s="412"/>
      <c r="M33" s="412"/>
      <c r="N33" s="412"/>
      <c r="O33" s="412"/>
      <c r="P33" s="412"/>
      <c r="Q33" s="412"/>
      <c r="R33" s="412"/>
      <c r="S33" s="400"/>
      <c r="T33" s="403"/>
      <c r="CX33" s="401"/>
      <c r="CY33" s="401"/>
      <c r="CZ33" s="401"/>
      <c r="DA33" s="401"/>
      <c r="DB33" s="401"/>
      <c r="DC33" s="401"/>
      <c r="DD33" s="401"/>
      <c r="DE33" s="401"/>
      <c r="DF33" s="401"/>
      <c r="DG33" s="401"/>
    </row>
    <row r="34" spans="1:111" s="404" customFormat="1" ht="15" customHeight="1" thickTop="1" thickBot="1">
      <c r="A34" s="2048" t="s">
        <v>1989</v>
      </c>
      <c r="B34" s="2049"/>
      <c r="C34" s="2050"/>
      <c r="D34" s="893">
        <f>IF(ISERROR(+D30/'FORM 1040-2'!$C$42),0,+D30/'FORM 1040-2'!$C$42)</f>
        <v>0</v>
      </c>
      <c r="E34" s="893">
        <f>IF(ISERROR(+E30/'FORM 1040-2'!$C$42),0,+E30/'FORM 1040-2'!$C$42)</f>
        <v>0</v>
      </c>
      <c r="F34" s="893">
        <f>IF(ISERROR(+F30/'FORM 1040-2'!$C$42),0,+F30/'FORM 1040-2'!$C$42)</f>
        <v>0</v>
      </c>
      <c r="G34" s="893">
        <f>IF(ISERROR(+G30/'FORM 1040-2'!$C$42),0,+G30/'FORM 1040-2'!$C$42)</f>
        <v>0</v>
      </c>
      <c r="H34" s="893">
        <f>IF(ISERROR(+H30/'FORM 1040-2'!$C$42),0,+H30/'FORM 1040-2'!$C$42)</f>
        <v>0</v>
      </c>
      <c r="I34" s="893">
        <f>IF(ISERROR(+I30/'FORM 1040-2'!$C$42),0,+I30/'FORM 1040-2'!$C$42)</f>
        <v>0</v>
      </c>
      <c r="J34" s="893">
        <f>IF(ISERROR(+J30/'FORM 1040-2'!$C$42),0,+J30/'FORM 1040-2'!$C$42)</f>
        <v>0</v>
      </c>
      <c r="K34" s="893">
        <f>IF(ISERROR(+K30/'FORM 1040-2'!$C$42),0,+K30/'FORM 1040-2'!$C$42)</f>
        <v>0</v>
      </c>
      <c r="L34" s="412"/>
      <c r="M34" s="412"/>
      <c r="N34" s="412"/>
      <c r="O34" s="412"/>
      <c r="P34" s="412"/>
      <c r="Q34" s="412"/>
      <c r="R34" s="412"/>
      <c r="S34" s="400"/>
      <c r="T34" s="403"/>
      <c r="CX34" s="401"/>
      <c r="CY34" s="401"/>
      <c r="CZ34" s="401"/>
      <c r="DA34" s="401"/>
      <c r="DB34" s="401"/>
      <c r="DC34" s="401"/>
      <c r="DD34" s="401"/>
      <c r="DE34" s="401"/>
      <c r="DF34" s="401"/>
      <c r="DG34" s="401"/>
    </row>
    <row r="35" spans="1:111" ht="6" customHeight="1" thickTop="1">
      <c r="A35" s="108"/>
      <c r="B35" s="108"/>
      <c r="C35" s="108"/>
      <c r="D35" s="108"/>
      <c r="E35" s="108"/>
      <c r="F35" s="108"/>
      <c r="G35" s="108"/>
      <c r="H35" s="108"/>
      <c r="I35" s="108"/>
      <c r="J35" s="108"/>
      <c r="K35" s="108"/>
      <c r="L35" s="108"/>
      <c r="M35" s="108"/>
      <c r="N35" s="108"/>
      <c r="O35" s="108"/>
      <c r="P35" s="108"/>
      <c r="Q35" s="108"/>
      <c r="R35" s="108"/>
      <c r="S35" s="108"/>
      <c r="T35" s="108"/>
    </row>
    <row r="36" spans="1:111" ht="6" customHeight="1">
      <c r="A36" s="421"/>
      <c r="B36" s="421"/>
      <c r="C36" s="421"/>
      <c r="D36" s="421"/>
      <c r="E36" s="421"/>
      <c r="F36" s="421"/>
      <c r="G36" s="421"/>
      <c r="H36" s="421"/>
      <c r="I36" s="421"/>
      <c r="J36" s="421"/>
      <c r="K36" s="421"/>
      <c r="L36" s="108"/>
      <c r="M36" s="108"/>
      <c r="N36" s="108"/>
      <c r="O36" s="108"/>
      <c r="P36" s="108"/>
      <c r="Q36" s="108"/>
      <c r="R36" s="108"/>
      <c r="S36" s="108"/>
      <c r="T36" s="108"/>
    </row>
    <row r="37" spans="1:111" ht="6" customHeight="1" thickBot="1">
      <c r="A37" s="108"/>
      <c r="B37" s="108"/>
      <c r="C37" s="108"/>
      <c r="D37" s="108"/>
      <c r="E37" s="108"/>
      <c r="F37" s="108"/>
      <c r="G37" s="108"/>
      <c r="H37" s="108"/>
      <c r="I37" s="108"/>
      <c r="J37" s="108"/>
      <c r="K37" s="108"/>
      <c r="L37" s="108"/>
      <c r="M37" s="108"/>
      <c r="N37" s="108"/>
      <c r="O37" s="108"/>
      <c r="P37" s="108"/>
      <c r="Q37" s="108"/>
      <c r="R37" s="108"/>
      <c r="S37" s="108"/>
      <c r="T37" s="108"/>
    </row>
    <row r="38" spans="1:111" ht="15" customHeight="1" thickTop="1" thickBot="1">
      <c r="A38" s="283"/>
      <c r="B38" s="283"/>
      <c r="C38" s="998"/>
      <c r="D38" s="2062" t="s">
        <v>68</v>
      </c>
      <c r="E38" s="2063"/>
      <c r="F38" s="2063"/>
      <c r="G38" s="2063"/>
      <c r="H38" s="2063"/>
      <c r="I38" s="2063"/>
      <c r="J38" s="2064"/>
      <c r="K38" s="108"/>
      <c r="L38" s="108"/>
    </row>
    <row r="39" spans="1:111" ht="15" customHeight="1" thickTop="1" thickBot="1">
      <c r="A39" s="1780" t="s">
        <v>98</v>
      </c>
      <c r="B39" s="1843"/>
      <c r="C39" s="1781"/>
      <c r="D39" s="396" t="s">
        <v>77</v>
      </c>
      <c r="E39" s="396" t="s">
        <v>78</v>
      </c>
      <c r="F39" s="396" t="s">
        <v>79</v>
      </c>
      <c r="G39" s="396" t="s">
        <v>80</v>
      </c>
      <c r="H39" s="396" t="s">
        <v>81</v>
      </c>
      <c r="I39" s="396" t="s">
        <v>82</v>
      </c>
      <c r="J39" s="396" t="s">
        <v>83</v>
      </c>
      <c r="K39" s="108"/>
      <c r="L39" s="108"/>
    </row>
    <row r="40" spans="1:111" s="399" customFormat="1" ht="15" customHeight="1" thickTop="1" thickBot="1">
      <c r="A40" s="2048" t="s">
        <v>787</v>
      </c>
      <c r="B40" s="2049"/>
      <c r="C40" s="2050"/>
      <c r="D40" s="1205">
        <f>+K7*(1+'FORM 1040-13'!$D$48)</f>
        <v>0</v>
      </c>
      <c r="E40" s="1205">
        <f>+D40*(1+'FORM 1040-13'!$D$48)</f>
        <v>0</v>
      </c>
      <c r="F40" s="1205">
        <f>+E40*(1+'FORM 1040-13'!$D$48)</f>
        <v>0</v>
      </c>
      <c r="G40" s="1205">
        <f>+F40*(1+'FORM 1040-13'!$D$48)</f>
        <v>0</v>
      </c>
      <c r="H40" s="1205">
        <f>+G40*(1+'FORM 1040-13'!$D$48)</f>
        <v>0</v>
      </c>
      <c r="I40" s="1205">
        <f>+H40*(1+'FORM 1040-13'!$D$48)</f>
        <v>0</v>
      </c>
      <c r="J40" s="1205">
        <f>+I40*(1+'FORM 1040-13'!$D$48)</f>
        <v>0</v>
      </c>
      <c r="K40" s="398"/>
      <c r="L40" s="108"/>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row>
    <row r="41" spans="1:111" s="401" customFormat="1" ht="15" customHeight="1" thickTop="1" thickBot="1">
      <c r="A41" s="2048" t="s">
        <v>788</v>
      </c>
      <c r="B41" s="2049"/>
      <c r="C41" s="2050"/>
      <c r="D41" s="1205">
        <f>+K8*(1+'FORM 1040-13'!$D$50)</f>
        <v>0</v>
      </c>
      <c r="E41" s="1205">
        <f>+D41*(1+'FORM 1040-13'!$D$50)</f>
        <v>0</v>
      </c>
      <c r="F41" s="1205">
        <f>+E41*(1+'FORM 1040-13'!$D$50)</f>
        <v>0</v>
      </c>
      <c r="G41" s="1205">
        <f>+F41*(1+'FORM 1040-13'!$D$50)</f>
        <v>0</v>
      </c>
      <c r="H41" s="1205">
        <f>+G41*(1+'FORM 1040-13'!$D$50)</f>
        <v>0</v>
      </c>
      <c r="I41" s="1205">
        <f>+H41*(1+'FORM 1040-13'!$D$50)</f>
        <v>0</v>
      </c>
      <c r="J41" s="1205">
        <f>+I41*(1+'FORM 1040-13'!$D$50)</f>
        <v>0</v>
      </c>
      <c r="K41" s="400"/>
      <c r="L41" s="108"/>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row>
    <row r="42" spans="1:111" s="401" customFormat="1" ht="15" customHeight="1" thickTop="1" thickBot="1">
      <c r="A42" s="2048" t="s">
        <v>84</v>
      </c>
      <c r="B42" s="2049"/>
      <c r="C42" s="2050"/>
      <c r="D42" s="1205">
        <f>+K9*(1+'FORM 1040-13'!$D$52)</f>
        <v>0</v>
      </c>
      <c r="E42" s="1205">
        <f>+D42*(1+'FORM 1040-13'!$D$52)</f>
        <v>0</v>
      </c>
      <c r="F42" s="1205">
        <f>+E42*(1+'FORM 1040-13'!$D$52)</f>
        <v>0</v>
      </c>
      <c r="G42" s="1205">
        <f>+F42*(1+'FORM 1040-13'!$D$52)</f>
        <v>0</v>
      </c>
      <c r="H42" s="1205">
        <f>+G42*(1+'FORM 1040-13'!$D$52)</f>
        <v>0</v>
      </c>
      <c r="I42" s="1205">
        <f>+H42*(1+'FORM 1040-13'!$D$52)</f>
        <v>0</v>
      </c>
      <c r="J42" s="1205">
        <f>+I42*(1+'FORM 1040-13'!$D$52)</f>
        <v>0</v>
      </c>
      <c r="K42" s="400"/>
      <c r="L42" s="108"/>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row>
    <row r="43" spans="1:111" ht="15" customHeight="1" thickTop="1" thickBot="1">
      <c r="A43" s="2051" t="s">
        <v>730</v>
      </c>
      <c r="B43" s="2044"/>
      <c r="C43" s="2052"/>
      <c r="D43" s="1203">
        <f t="shared" ref="D43:J43" si="9">SUM(D40:D42)</f>
        <v>0</v>
      </c>
      <c r="E43" s="1203">
        <f t="shared" si="9"/>
        <v>0</v>
      </c>
      <c r="F43" s="1203">
        <f t="shared" si="9"/>
        <v>0</v>
      </c>
      <c r="G43" s="1203">
        <f t="shared" si="9"/>
        <v>0</v>
      </c>
      <c r="H43" s="1203">
        <f t="shared" si="9"/>
        <v>0</v>
      </c>
      <c r="I43" s="1203">
        <f t="shared" si="9"/>
        <v>0</v>
      </c>
      <c r="J43" s="1203">
        <f t="shared" si="9"/>
        <v>0</v>
      </c>
      <c r="K43" s="108"/>
      <c r="L43" s="108"/>
    </row>
    <row r="44" spans="1:111" ht="9.9499999999999993" customHeight="1" thickTop="1" thickBot="1">
      <c r="A44" s="2045"/>
      <c r="B44" s="2045"/>
      <c r="C44" s="2045"/>
      <c r="D44" s="1210"/>
      <c r="E44" s="1210"/>
      <c r="F44" s="1210"/>
      <c r="G44" s="1210"/>
      <c r="H44" s="1210"/>
      <c r="I44" s="1210"/>
      <c r="J44" s="1210"/>
      <c r="K44" s="108"/>
      <c r="L44" s="108"/>
    </row>
    <row r="45" spans="1:111" s="401" customFormat="1" ht="15" customHeight="1" thickTop="1" thickBot="1">
      <c r="A45" s="2048" t="s">
        <v>731</v>
      </c>
      <c r="B45" s="2049"/>
      <c r="C45" s="2050"/>
      <c r="D45" s="1205">
        <f>+K12*(1+'FORM 1040-13'!$D$54)</f>
        <v>0</v>
      </c>
      <c r="E45" s="1205">
        <f>+D45*(1+'FORM 1040-13'!$D$54)</f>
        <v>0</v>
      </c>
      <c r="F45" s="1205">
        <f>+E45*(1+'FORM 1040-13'!$D$54)</f>
        <v>0</v>
      </c>
      <c r="G45" s="1205">
        <f>+F45*(1+'FORM 1040-13'!$D$54)</f>
        <v>0</v>
      </c>
      <c r="H45" s="1205">
        <f>+G45*(1+'FORM 1040-13'!$D$54)</f>
        <v>0</v>
      </c>
      <c r="I45" s="1205">
        <f>+H45*(1+'FORM 1040-13'!$D$54)</f>
        <v>0</v>
      </c>
      <c r="J45" s="1205">
        <f>+I45*(1+'FORM 1040-13'!$D$54)</f>
        <v>0</v>
      </c>
      <c r="K45" s="400"/>
      <c r="L45" s="108"/>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row>
    <row r="46" spans="1:111" ht="6" customHeight="1" thickTop="1" thickBot="1">
      <c r="A46" s="2044"/>
      <c r="B46" s="2044"/>
      <c r="C46" s="2044"/>
      <c r="D46" s="1210"/>
      <c r="E46" s="1210"/>
      <c r="F46" s="1210"/>
      <c r="G46" s="1210"/>
      <c r="H46" s="1210"/>
      <c r="I46" s="1210"/>
      <c r="J46" s="1210"/>
      <c r="K46" s="108"/>
      <c r="L46" s="108"/>
    </row>
    <row r="47" spans="1:111" s="404" customFormat="1" ht="15" customHeight="1" thickTop="1" thickBot="1">
      <c r="A47" s="2053" t="s">
        <v>2382</v>
      </c>
      <c r="B47" s="2054"/>
      <c r="C47" s="2055"/>
      <c r="D47" s="1205">
        <f>+K14*(1+'FORM 1040-13'!$D$56)</f>
        <v>0</v>
      </c>
      <c r="E47" s="1205">
        <f>+D47*(1+'FORM 1040-13'!$D$56)</f>
        <v>0</v>
      </c>
      <c r="F47" s="1205">
        <f>+E47*(1+'FORM 1040-13'!$D$56)</f>
        <v>0</v>
      </c>
      <c r="G47" s="1205">
        <f>+F47*(1+'FORM 1040-13'!$D$56)</f>
        <v>0</v>
      </c>
      <c r="H47" s="1205">
        <f>+G47*(1+'FORM 1040-13'!$D$56)</f>
        <v>0</v>
      </c>
      <c r="I47" s="1205">
        <f>+H47*(1+'FORM 1040-13'!$D$56)</f>
        <v>0</v>
      </c>
      <c r="J47" s="1205">
        <f>+I47*(1+'FORM 1040-13'!$D$56)</f>
        <v>0</v>
      </c>
      <c r="K47" s="400"/>
      <c r="L47" s="403"/>
      <c r="CP47" s="401"/>
      <c r="CQ47" s="401"/>
      <c r="CR47" s="401"/>
      <c r="CS47" s="401"/>
      <c r="CT47" s="401"/>
      <c r="CU47" s="401"/>
      <c r="CV47" s="401"/>
      <c r="CW47" s="401"/>
      <c r="CX47" s="401"/>
      <c r="CY47" s="401"/>
    </row>
    <row r="48" spans="1:111" s="404" customFormat="1" ht="6" customHeight="1" thickTop="1" thickBot="1">
      <c r="A48" s="2043"/>
      <c r="B48" s="2043"/>
      <c r="C48" s="2043"/>
      <c r="D48" s="1211"/>
      <c r="E48" s="1211"/>
      <c r="F48" s="1211"/>
      <c r="G48" s="1211"/>
      <c r="H48" s="1211"/>
      <c r="I48" s="1211"/>
      <c r="J48" s="1211"/>
      <c r="K48" s="400"/>
      <c r="L48" s="403"/>
      <c r="CP48" s="401"/>
      <c r="CQ48" s="401"/>
      <c r="CR48" s="401"/>
      <c r="CS48" s="401"/>
      <c r="CT48" s="401"/>
      <c r="CU48" s="401"/>
      <c r="CV48" s="401"/>
      <c r="CW48" s="401"/>
      <c r="CX48" s="401"/>
      <c r="CY48" s="401"/>
    </row>
    <row r="49" spans="1:103" s="404" customFormat="1" ht="27" customHeight="1" thickTop="1" thickBot="1">
      <c r="A49" s="2053" t="s">
        <v>250</v>
      </c>
      <c r="B49" s="2054"/>
      <c r="C49" s="2055"/>
      <c r="D49" s="1205">
        <f>+D43+D45-D47</f>
        <v>0</v>
      </c>
      <c r="E49" s="1205">
        <f t="shared" ref="E49:J49" si="10">+E43+E45-E47</f>
        <v>0</v>
      </c>
      <c r="F49" s="1205">
        <f t="shared" si="10"/>
        <v>0</v>
      </c>
      <c r="G49" s="1205">
        <f t="shared" si="10"/>
        <v>0</v>
      </c>
      <c r="H49" s="1205">
        <f t="shared" si="10"/>
        <v>0</v>
      </c>
      <c r="I49" s="1205">
        <f t="shared" si="10"/>
        <v>0</v>
      </c>
      <c r="J49" s="1205">
        <f t="shared" si="10"/>
        <v>0</v>
      </c>
      <c r="K49" s="400"/>
      <c r="L49" s="403"/>
      <c r="CP49" s="401"/>
      <c r="CQ49" s="401"/>
      <c r="CR49" s="401"/>
      <c r="CS49" s="401"/>
      <c r="CT49" s="401"/>
      <c r="CU49" s="401"/>
      <c r="CV49" s="401"/>
      <c r="CW49" s="401"/>
      <c r="CX49" s="401"/>
      <c r="CY49" s="401"/>
    </row>
    <row r="50" spans="1:103" s="404" customFormat="1" ht="15" customHeight="1" thickTop="1" thickBot="1">
      <c r="A50" s="2059" t="s">
        <v>85</v>
      </c>
      <c r="B50" s="2060"/>
      <c r="C50" s="2061"/>
      <c r="D50" s="1209"/>
      <c r="E50" s="1209"/>
      <c r="F50" s="1209"/>
      <c r="G50" s="1209"/>
      <c r="H50" s="1209"/>
      <c r="I50" s="1209"/>
      <c r="J50" s="1209"/>
      <c r="K50" s="400"/>
      <c r="L50" s="108"/>
      <c r="M50" s="1263"/>
      <c r="N50" s="1263"/>
      <c r="O50" s="1263"/>
      <c r="P50" s="1263"/>
      <c r="CP50" s="401"/>
      <c r="CQ50" s="401"/>
      <c r="CR50" s="401"/>
      <c r="CS50" s="401"/>
      <c r="CT50" s="401"/>
      <c r="CU50" s="401"/>
      <c r="CV50" s="401"/>
      <c r="CW50" s="401"/>
      <c r="CX50" s="401"/>
      <c r="CY50" s="401"/>
    </row>
    <row r="51" spans="1:103" s="410" customFormat="1" ht="15" customHeight="1" thickTop="1" thickBot="1">
      <c r="A51" s="2053" t="s">
        <v>2174</v>
      </c>
      <c r="B51" s="2054"/>
      <c r="C51" s="2055"/>
      <c r="D51" s="1209"/>
      <c r="E51" s="1209"/>
      <c r="F51" s="1209"/>
      <c r="G51" s="1209"/>
      <c r="H51" s="1209"/>
      <c r="I51" s="1209"/>
      <c r="J51" s="1209"/>
      <c r="K51" s="408"/>
      <c r="L51" s="108"/>
      <c r="M51" s="1263"/>
      <c r="N51" s="1263"/>
      <c r="O51" s="1263"/>
      <c r="P51" s="1263"/>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9"/>
      <c r="CQ51" s="409"/>
      <c r="CR51" s="409"/>
      <c r="CS51" s="409"/>
      <c r="CT51" s="409"/>
      <c r="CU51" s="409"/>
      <c r="CV51" s="409"/>
      <c r="CW51" s="409"/>
      <c r="CX51" s="409"/>
      <c r="CY51" s="409"/>
    </row>
    <row r="52" spans="1:103" s="410" customFormat="1" ht="15" customHeight="1" thickTop="1" thickBot="1">
      <c r="A52" s="2053" t="s">
        <v>2500</v>
      </c>
      <c r="B52" s="2054"/>
      <c r="C52" s="2055"/>
      <c r="D52" s="1205">
        <f>IF('FORM 1040-13'!$L$10&gt;0,'FORM 1040-13'!$AH162,0)</f>
        <v>0</v>
      </c>
      <c r="E52" s="1205">
        <f>IF('FORM 1040-13'!$L$10&gt;0,'FORM 1040-13'!$AH174,0)</f>
        <v>0</v>
      </c>
      <c r="F52" s="1205">
        <f>IF('FORM 1040-13'!$L$10&gt;0,'FORM 1040-13'!$AH186,0)</f>
        <v>0</v>
      </c>
      <c r="G52" s="1205">
        <f>IF('FORM 1040-13'!$L$10&gt;0,'FORM 1040-13'!$AH198,0)</f>
        <v>0</v>
      </c>
      <c r="H52" s="1205">
        <f>IF('FORM 1040-13'!$L$10&gt;0,'FORM 1040-13'!$AH210,0)</f>
        <v>0</v>
      </c>
      <c r="I52" s="1205">
        <f>IF('FORM 1040-13'!$L$10&gt;0,'FORM 1040-13'!$AH222,0)</f>
        <v>0</v>
      </c>
      <c r="J52" s="1205">
        <f>IF('FORM 1040-13'!$L$10&gt;0,'FORM 1040-13'!$AH234,0)</f>
        <v>0</v>
      </c>
      <c r="K52" s="408"/>
      <c r="L52" s="108"/>
      <c r="M52" s="1407"/>
      <c r="N52" s="1407"/>
      <c r="O52" s="1407"/>
      <c r="P52" s="1407"/>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9"/>
      <c r="CQ52" s="409"/>
      <c r="CR52" s="409"/>
      <c r="CS52" s="409"/>
      <c r="CT52" s="409"/>
      <c r="CU52" s="409"/>
      <c r="CV52" s="409"/>
      <c r="CW52" s="409"/>
      <c r="CX52" s="409"/>
      <c r="CY52" s="409"/>
    </row>
    <row r="53" spans="1:103" s="410" customFormat="1" ht="15" customHeight="1" thickTop="1" thickBot="1">
      <c r="A53" s="2053" t="s">
        <v>2501</v>
      </c>
      <c r="B53" s="2054"/>
      <c r="C53" s="2055"/>
      <c r="D53" s="1209"/>
      <c r="E53" s="1209"/>
      <c r="F53" s="1209"/>
      <c r="G53" s="1209"/>
      <c r="H53" s="1209"/>
      <c r="I53" s="1209"/>
      <c r="J53" s="1209"/>
      <c r="K53" s="408"/>
      <c r="L53" s="108"/>
      <c r="M53" s="1263"/>
      <c r="N53" s="1263"/>
      <c r="O53" s="1263"/>
      <c r="P53" s="1263"/>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S53" s="404"/>
      <c r="AT53" s="404"/>
      <c r="AU53" s="404"/>
      <c r="AV53" s="404"/>
      <c r="AW53" s="404"/>
      <c r="AX53" s="404"/>
      <c r="AY53" s="404"/>
      <c r="AZ53" s="404"/>
      <c r="BA53" s="404"/>
      <c r="BB53" s="404"/>
      <c r="BC53" s="404"/>
      <c r="BD53" s="404"/>
      <c r="BE53" s="404"/>
      <c r="BF53" s="404"/>
      <c r="BG53" s="404"/>
      <c r="BH53" s="404"/>
      <c r="BI53" s="404"/>
      <c r="BJ53" s="404"/>
      <c r="BK53" s="404"/>
      <c r="BL53" s="404"/>
      <c r="BM53" s="404"/>
      <c r="BN53" s="404"/>
      <c r="BO53" s="404"/>
      <c r="BP53" s="404"/>
      <c r="BQ53" s="404"/>
      <c r="BR53" s="404"/>
      <c r="BS53" s="404"/>
      <c r="BT53" s="404"/>
      <c r="BU53" s="404"/>
      <c r="BV53" s="404"/>
      <c r="BW53" s="404"/>
      <c r="BX53" s="404"/>
      <c r="BY53" s="404"/>
      <c r="BZ53" s="404"/>
      <c r="CA53" s="404"/>
      <c r="CB53" s="404"/>
      <c r="CC53" s="404"/>
      <c r="CD53" s="404"/>
      <c r="CE53" s="404"/>
      <c r="CF53" s="404"/>
      <c r="CG53" s="404"/>
      <c r="CH53" s="404"/>
      <c r="CI53" s="404"/>
      <c r="CJ53" s="404"/>
      <c r="CK53" s="404"/>
      <c r="CL53" s="404"/>
      <c r="CM53" s="404"/>
      <c r="CN53" s="404"/>
      <c r="CO53" s="404"/>
      <c r="CP53" s="409"/>
      <c r="CQ53" s="409"/>
      <c r="CR53" s="409"/>
      <c r="CS53" s="409"/>
      <c r="CT53" s="409"/>
      <c r="CU53" s="409"/>
      <c r="CV53" s="409"/>
      <c r="CW53" s="409"/>
      <c r="CX53" s="409"/>
      <c r="CY53" s="409"/>
    </row>
    <row r="54" spans="1:103" s="410" customFormat="1" ht="15" customHeight="1" thickTop="1" thickBot="1">
      <c r="A54" s="2053" t="s">
        <v>732</v>
      </c>
      <c r="B54" s="2054"/>
      <c r="C54" s="2055"/>
      <c r="D54" s="1209"/>
      <c r="E54" s="1209"/>
      <c r="F54" s="1209"/>
      <c r="G54" s="1209"/>
      <c r="H54" s="1209"/>
      <c r="I54" s="1209"/>
      <c r="J54" s="1209"/>
      <c r="K54" s="408"/>
      <c r="L54" s="108"/>
      <c r="M54" s="1263"/>
      <c r="N54" s="1263"/>
      <c r="O54" s="1263"/>
      <c r="P54" s="1263"/>
      <c r="Q54" s="404"/>
      <c r="R54" s="404"/>
      <c r="S54" s="404"/>
      <c r="T54" s="404"/>
      <c r="U54" s="404"/>
      <c r="V54" s="404"/>
      <c r="W54" s="404"/>
      <c r="X54" s="404"/>
      <c r="Y54" s="404"/>
      <c r="Z54" s="404"/>
      <c r="AA54" s="404"/>
      <c r="AB54" s="404"/>
      <c r="AC54" s="404"/>
      <c r="AD54" s="404"/>
      <c r="AE54" s="404"/>
      <c r="AF54" s="404"/>
      <c r="AG54" s="404"/>
      <c r="AH54" s="404"/>
      <c r="AI54" s="404"/>
      <c r="AJ54" s="404"/>
      <c r="AK54" s="404"/>
      <c r="AL54" s="404"/>
      <c r="AM54" s="404"/>
      <c r="AN54" s="404"/>
      <c r="AO54" s="404"/>
      <c r="AP54" s="404"/>
      <c r="AQ54" s="404"/>
      <c r="AR54" s="404"/>
      <c r="AS54" s="404"/>
      <c r="AT54" s="404"/>
      <c r="AU54" s="404"/>
      <c r="AV54" s="404"/>
      <c r="AW54" s="404"/>
      <c r="AX54" s="404"/>
      <c r="AY54" s="404"/>
      <c r="AZ54" s="404"/>
      <c r="BA54" s="404"/>
      <c r="BB54" s="404"/>
      <c r="BC54" s="404"/>
      <c r="BD54" s="404"/>
      <c r="BE54" s="404"/>
      <c r="BF54" s="404"/>
      <c r="BG54" s="404"/>
      <c r="BH54" s="404"/>
      <c r="BI54" s="404"/>
      <c r="BJ54" s="404"/>
      <c r="BK54" s="404"/>
      <c r="BL54" s="404"/>
      <c r="BM54" s="404"/>
      <c r="BN54" s="404"/>
      <c r="BO54" s="404"/>
      <c r="BP54" s="404"/>
      <c r="BQ54" s="404"/>
      <c r="BR54" s="404"/>
      <c r="BS54" s="404"/>
      <c r="BT54" s="404"/>
      <c r="BU54" s="404"/>
      <c r="BV54" s="404"/>
      <c r="BW54" s="404"/>
      <c r="BX54" s="404"/>
      <c r="BY54" s="404"/>
      <c r="BZ54" s="404"/>
      <c r="CA54" s="404"/>
      <c r="CB54" s="404"/>
      <c r="CC54" s="404"/>
      <c r="CD54" s="404"/>
      <c r="CE54" s="404"/>
      <c r="CF54" s="404"/>
      <c r="CG54" s="404"/>
      <c r="CH54" s="404"/>
      <c r="CI54" s="404"/>
      <c r="CJ54" s="404"/>
      <c r="CK54" s="404"/>
      <c r="CL54" s="404"/>
      <c r="CM54" s="404"/>
      <c r="CN54" s="404"/>
      <c r="CO54" s="404"/>
      <c r="CP54" s="409"/>
      <c r="CQ54" s="409"/>
      <c r="CR54" s="409"/>
      <c r="CS54" s="409"/>
      <c r="CT54" s="409"/>
      <c r="CU54" s="409"/>
      <c r="CV54" s="409"/>
      <c r="CW54" s="409"/>
      <c r="CX54" s="409"/>
      <c r="CY54" s="409"/>
    </row>
    <row r="55" spans="1:103" s="410" customFormat="1" ht="15" customHeight="1" thickTop="1" thickBot="1">
      <c r="A55" s="2048" t="s">
        <v>733</v>
      </c>
      <c r="B55" s="2049"/>
      <c r="C55" s="2050"/>
      <c r="D55" s="1203">
        <f>+D49-D50-D51-D52-D53-D54</f>
        <v>0</v>
      </c>
      <c r="E55" s="1203">
        <f t="shared" ref="E55:J55" si="11">+E49-E50-E51-E52-E53-E54</f>
        <v>0</v>
      </c>
      <c r="F55" s="1203">
        <f t="shared" si="11"/>
        <v>0</v>
      </c>
      <c r="G55" s="1203">
        <f t="shared" si="11"/>
        <v>0</v>
      </c>
      <c r="H55" s="1203">
        <f t="shared" si="11"/>
        <v>0</v>
      </c>
      <c r="I55" s="1203">
        <f t="shared" si="11"/>
        <v>0</v>
      </c>
      <c r="J55" s="1203">
        <f t="shared" si="11"/>
        <v>0</v>
      </c>
      <c r="K55" s="408"/>
      <c r="L55" s="108"/>
      <c r="M55" s="1263"/>
      <c r="N55" s="1263"/>
      <c r="O55" s="1263"/>
      <c r="P55" s="1263"/>
      <c r="Q55" s="404"/>
      <c r="R55" s="404"/>
      <c r="S55" s="404"/>
      <c r="T55" s="404"/>
      <c r="U55" s="404"/>
      <c r="V55" s="404"/>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c r="CB55" s="404"/>
      <c r="CC55" s="404"/>
      <c r="CD55" s="404"/>
      <c r="CE55" s="404"/>
      <c r="CF55" s="404"/>
      <c r="CG55" s="404"/>
      <c r="CH55" s="404"/>
      <c r="CI55" s="404"/>
      <c r="CJ55" s="404"/>
      <c r="CK55" s="404"/>
      <c r="CL55" s="404"/>
      <c r="CM55" s="404"/>
      <c r="CN55" s="404"/>
      <c r="CO55" s="404"/>
      <c r="CP55" s="409"/>
      <c r="CQ55" s="409"/>
      <c r="CR55" s="409"/>
      <c r="CS55" s="409"/>
      <c r="CT55" s="409"/>
      <c r="CU55" s="409"/>
      <c r="CV55" s="409"/>
      <c r="CW55" s="409"/>
      <c r="CX55" s="409"/>
      <c r="CY55" s="409"/>
    </row>
    <row r="56" spans="1:103" s="410" customFormat="1" ht="15" customHeight="1" thickTop="1" thickBot="1">
      <c r="A56" s="2048" t="s">
        <v>1987</v>
      </c>
      <c r="B56" s="2049"/>
      <c r="C56" s="2050"/>
      <c r="D56" s="1205">
        <f>+K23+D55</f>
        <v>0</v>
      </c>
      <c r="E56" s="1205">
        <f t="shared" ref="E56:J56" si="12">+E55+D56</f>
        <v>0</v>
      </c>
      <c r="F56" s="1205">
        <f t="shared" si="12"/>
        <v>0</v>
      </c>
      <c r="G56" s="1205">
        <f t="shared" si="12"/>
        <v>0</v>
      </c>
      <c r="H56" s="1205">
        <f t="shared" si="12"/>
        <v>0</v>
      </c>
      <c r="I56" s="1205">
        <f t="shared" si="12"/>
        <v>0</v>
      </c>
      <c r="J56" s="1205">
        <f t="shared" si="12"/>
        <v>0</v>
      </c>
      <c r="K56" s="408"/>
      <c r="L56" s="108"/>
      <c r="M56" s="1263"/>
      <c r="N56" s="1263"/>
      <c r="O56" s="1263"/>
      <c r="P56" s="1263"/>
      <c r="Q56" s="404"/>
      <c r="R56" s="404"/>
      <c r="S56" s="404"/>
      <c r="T56" s="404"/>
      <c r="U56" s="404"/>
      <c r="V56" s="404"/>
      <c r="W56" s="404"/>
      <c r="X56" s="404"/>
      <c r="Y56" s="404"/>
      <c r="Z56" s="404"/>
      <c r="AA56" s="404"/>
      <c r="AB56" s="404"/>
      <c r="AC56" s="404"/>
      <c r="AD56" s="404"/>
      <c r="AE56" s="404"/>
      <c r="AF56" s="404"/>
      <c r="AG56" s="404"/>
      <c r="AH56" s="404"/>
      <c r="AI56" s="404"/>
      <c r="AJ56" s="404"/>
      <c r="AK56" s="404"/>
      <c r="AL56" s="404"/>
      <c r="AM56" s="404"/>
      <c r="AN56" s="404"/>
      <c r="AO56" s="404"/>
      <c r="AP56" s="404"/>
      <c r="AQ56" s="404"/>
      <c r="AR56" s="404"/>
      <c r="AS56" s="404"/>
      <c r="AT56" s="404"/>
      <c r="AU56" s="404"/>
      <c r="AV56" s="404"/>
      <c r="AW56" s="404"/>
      <c r="AX56" s="404"/>
      <c r="AY56" s="404"/>
      <c r="AZ56" s="404"/>
      <c r="BA56" s="404"/>
      <c r="BB56" s="404"/>
      <c r="BC56" s="404"/>
      <c r="BD56" s="404"/>
      <c r="BE56" s="404"/>
      <c r="BF56" s="404"/>
      <c r="BG56" s="404"/>
      <c r="BH56" s="404"/>
      <c r="BI56" s="404"/>
      <c r="BJ56" s="404"/>
      <c r="BK56" s="404"/>
      <c r="BL56" s="404"/>
      <c r="BM56" s="404"/>
      <c r="BN56" s="404"/>
      <c r="BO56" s="404"/>
      <c r="BP56" s="404"/>
      <c r="BQ56" s="404"/>
      <c r="BR56" s="404"/>
      <c r="BS56" s="404"/>
      <c r="BT56" s="404"/>
      <c r="BU56" s="404"/>
      <c r="BV56" s="404"/>
      <c r="BW56" s="404"/>
      <c r="BX56" s="404"/>
      <c r="BY56" s="404"/>
      <c r="BZ56" s="404"/>
      <c r="CA56" s="404"/>
      <c r="CB56" s="404"/>
      <c r="CC56" s="404"/>
      <c r="CD56" s="404"/>
      <c r="CE56" s="404"/>
      <c r="CF56" s="404"/>
      <c r="CG56" s="404"/>
      <c r="CH56" s="404"/>
      <c r="CI56" s="404"/>
      <c r="CJ56" s="404"/>
      <c r="CK56" s="404"/>
      <c r="CL56" s="404"/>
      <c r="CM56" s="404"/>
      <c r="CN56" s="404"/>
      <c r="CO56" s="404"/>
      <c r="CP56" s="409"/>
      <c r="CQ56" s="409"/>
      <c r="CR56" s="409"/>
      <c r="CS56" s="409"/>
      <c r="CT56" s="409"/>
      <c r="CU56" s="409"/>
      <c r="CV56" s="409"/>
      <c r="CW56" s="409"/>
      <c r="CX56" s="409"/>
      <c r="CY56" s="409"/>
    </row>
    <row r="57" spans="1:103" ht="6" customHeight="1" thickTop="1" thickBot="1">
      <c r="A57" s="2046"/>
      <c r="B57" s="2046"/>
      <c r="C57" s="2046"/>
      <c r="D57" s="405"/>
      <c r="E57" s="405"/>
      <c r="F57" s="405"/>
      <c r="G57" s="405"/>
      <c r="H57" s="405"/>
      <c r="I57" s="405"/>
      <c r="J57" s="405"/>
      <c r="K57" s="398"/>
      <c r="L57" s="108"/>
      <c r="M57" s="1263"/>
      <c r="N57" s="1263"/>
      <c r="O57" s="1263"/>
      <c r="P57" s="1263"/>
      <c r="CP57" s="399"/>
      <c r="CQ57" s="399"/>
      <c r="CR57" s="399"/>
      <c r="CS57" s="399"/>
      <c r="CT57" s="399"/>
      <c r="CU57" s="399"/>
      <c r="CV57" s="399"/>
      <c r="CW57" s="399"/>
      <c r="CX57" s="399"/>
      <c r="CY57" s="399"/>
    </row>
    <row r="58" spans="1:103" s="404" customFormat="1" ht="15" customHeight="1" thickTop="1" thickBot="1">
      <c r="A58" s="2048" t="s">
        <v>735</v>
      </c>
      <c r="B58" s="2049"/>
      <c r="C58" s="2050"/>
      <c r="D58" s="411">
        <f t="shared" ref="D58:J58" si="13">IF(ISERROR(1+D55/D54),0,1+D55/D54)</f>
        <v>0</v>
      </c>
      <c r="E58" s="411">
        <f t="shared" si="13"/>
        <v>0</v>
      </c>
      <c r="F58" s="411">
        <f t="shared" si="13"/>
        <v>0</v>
      </c>
      <c r="G58" s="411">
        <f t="shared" si="13"/>
        <v>0</v>
      </c>
      <c r="H58" s="411">
        <f t="shared" si="13"/>
        <v>0</v>
      </c>
      <c r="I58" s="411">
        <f t="shared" si="13"/>
        <v>0</v>
      </c>
      <c r="J58" s="411">
        <f t="shared" si="13"/>
        <v>0</v>
      </c>
      <c r="K58" s="400"/>
      <c r="L58" s="108"/>
      <c r="M58" s="2073" t="s">
        <v>2414</v>
      </c>
      <c r="N58" s="1263"/>
      <c r="O58" s="1263"/>
      <c r="P58" s="1263"/>
      <c r="CP58" s="401"/>
      <c r="CQ58" s="401"/>
      <c r="CR58" s="401"/>
      <c r="CS58" s="401"/>
      <c r="CT58" s="401"/>
      <c r="CU58" s="401"/>
      <c r="CV58" s="401"/>
      <c r="CW58" s="401"/>
      <c r="CX58" s="401"/>
      <c r="CY58" s="401"/>
    </row>
    <row r="59" spans="1:103" s="404" customFormat="1" ht="15" customHeight="1" thickTop="1" thickBot="1">
      <c r="A59" s="2048" t="s">
        <v>1986</v>
      </c>
      <c r="B59" s="2049"/>
      <c r="C59" s="2050"/>
      <c r="D59" s="893">
        <f>IF(ISERROR(+D55/'FORM 1040-2'!$C$42),0,+D55/'FORM 1040-2'!$C$42)</f>
        <v>0</v>
      </c>
      <c r="E59" s="893">
        <f>IF(ISERROR(+E55/'FORM 1040-2'!$C$42),0,+E55/'FORM 1040-2'!$C$42)</f>
        <v>0</v>
      </c>
      <c r="F59" s="893">
        <f>IF(ISERROR(+F55/'FORM 1040-2'!$C$42),0,+F55/'FORM 1040-2'!$C$42)</f>
        <v>0</v>
      </c>
      <c r="G59" s="893">
        <f>IF(ISERROR(+G55/'FORM 1040-2'!$C$42),0,+G55/'FORM 1040-2'!$C$42)</f>
        <v>0</v>
      </c>
      <c r="H59" s="893">
        <f>IF(ISERROR(+H55/'FORM 1040-2'!$C$42),0,+H55/'FORM 1040-2'!$C$42)</f>
        <v>0</v>
      </c>
      <c r="I59" s="893">
        <f>IF(ISERROR(+I55/'FORM 1040-2'!$C$42),0,+I55/'FORM 1040-2'!$C$42)</f>
        <v>0</v>
      </c>
      <c r="J59" s="893">
        <f>IF(ISERROR(+J55/'FORM 1040-2'!$C$42),0,+J55/'FORM 1040-2'!$C$42)</f>
        <v>0</v>
      </c>
      <c r="K59" s="400"/>
      <c r="M59" s="2074"/>
      <c r="N59" s="1263"/>
      <c r="O59" s="1263"/>
      <c r="P59" s="1263"/>
      <c r="CP59" s="401"/>
      <c r="CQ59" s="401"/>
      <c r="CR59" s="401"/>
      <c r="CS59" s="401"/>
      <c r="CT59" s="401"/>
      <c r="CU59" s="401"/>
      <c r="CV59" s="401"/>
      <c r="CW59" s="401"/>
      <c r="CX59" s="401"/>
      <c r="CY59" s="401"/>
    </row>
    <row r="60" spans="1:103" ht="6" customHeight="1" thickTop="1" thickBot="1">
      <c r="A60" s="413"/>
      <c r="B60" s="2047"/>
      <c r="C60" s="2047"/>
      <c r="D60" s="1212"/>
      <c r="E60" s="1212"/>
      <c r="F60" s="1212"/>
      <c r="G60" s="1212"/>
      <c r="H60" s="1212"/>
      <c r="I60" s="1212"/>
      <c r="J60" s="1212"/>
      <c r="K60" s="2076" t="s">
        <v>1477</v>
      </c>
      <c r="L60" s="108"/>
      <c r="M60" s="2074"/>
      <c r="N60" s="1263"/>
      <c r="O60" s="1263"/>
      <c r="P60" s="1263"/>
    </row>
    <row r="61" spans="1:103" s="410" customFormat="1" ht="15" customHeight="1" thickTop="1" thickBot="1">
      <c r="A61" s="2048" t="s">
        <v>733</v>
      </c>
      <c r="B61" s="2049"/>
      <c r="C61" s="2050"/>
      <c r="D61" s="1205">
        <f t="shared" ref="D61:J61" si="14">+D55</f>
        <v>0</v>
      </c>
      <c r="E61" s="1205">
        <f t="shared" si="14"/>
        <v>0</v>
      </c>
      <c r="F61" s="1205">
        <f t="shared" si="14"/>
        <v>0</v>
      </c>
      <c r="G61" s="1205">
        <f t="shared" si="14"/>
        <v>0</v>
      </c>
      <c r="H61" s="1205">
        <f t="shared" si="14"/>
        <v>0</v>
      </c>
      <c r="I61" s="1205">
        <f t="shared" si="14"/>
        <v>0</v>
      </c>
      <c r="J61" s="1205">
        <f t="shared" si="14"/>
        <v>0</v>
      </c>
      <c r="K61" s="2076"/>
      <c r="L61" s="108"/>
      <c r="M61" s="2074"/>
      <c r="N61" s="1263"/>
      <c r="O61" s="1263"/>
      <c r="P61" s="1263"/>
      <c r="Q61" s="404"/>
      <c r="R61" s="404"/>
      <c r="S61" s="404"/>
      <c r="T61" s="404"/>
      <c r="U61" s="404"/>
      <c r="V61" s="404"/>
      <c r="W61" s="404"/>
      <c r="X61" s="404"/>
      <c r="Y61" s="404"/>
      <c r="Z61" s="404"/>
      <c r="AA61" s="404"/>
      <c r="AB61" s="404"/>
      <c r="AC61" s="404"/>
      <c r="AD61" s="404"/>
      <c r="AE61" s="404"/>
      <c r="AF61" s="404"/>
      <c r="AG61" s="404"/>
      <c r="AH61" s="404"/>
      <c r="AI61" s="404"/>
      <c r="AJ61" s="404"/>
      <c r="AK61" s="404"/>
      <c r="AL61" s="404"/>
      <c r="AM61" s="404"/>
      <c r="AN61" s="404"/>
      <c r="AO61" s="404"/>
      <c r="AP61" s="404"/>
      <c r="AQ61" s="404"/>
      <c r="AR61" s="404"/>
      <c r="AS61" s="404"/>
      <c r="AT61" s="404"/>
      <c r="AU61" s="404"/>
      <c r="AV61" s="404"/>
      <c r="AW61" s="404"/>
      <c r="AX61" s="404"/>
      <c r="AY61" s="404"/>
      <c r="AZ61" s="404"/>
      <c r="BA61" s="404"/>
      <c r="BB61" s="404"/>
      <c r="BC61" s="404"/>
      <c r="BD61" s="404"/>
      <c r="BE61" s="404"/>
      <c r="BF61" s="404"/>
      <c r="BG61" s="404"/>
      <c r="BH61" s="404"/>
      <c r="BI61" s="404"/>
      <c r="BJ61" s="404"/>
      <c r="BK61" s="404"/>
      <c r="BL61" s="404"/>
      <c r="BM61" s="404"/>
      <c r="BN61" s="404"/>
      <c r="BO61" s="404"/>
      <c r="BP61" s="404"/>
      <c r="BQ61" s="404"/>
      <c r="BR61" s="404"/>
      <c r="BS61" s="404"/>
      <c r="BT61" s="404"/>
      <c r="BU61" s="404"/>
      <c r="BV61" s="404"/>
      <c r="BW61" s="404"/>
      <c r="BX61" s="404"/>
      <c r="BY61" s="404"/>
      <c r="BZ61" s="404"/>
      <c r="CA61" s="404"/>
      <c r="CB61" s="404"/>
      <c r="CC61" s="404"/>
      <c r="CD61" s="404"/>
      <c r="CE61" s="404"/>
      <c r="CF61" s="404"/>
      <c r="CG61" s="404"/>
      <c r="CH61" s="404"/>
      <c r="CI61" s="404"/>
      <c r="CJ61" s="404"/>
      <c r="CK61" s="404"/>
      <c r="CL61" s="404"/>
      <c r="CM61" s="404"/>
      <c r="CN61" s="404"/>
      <c r="CO61" s="404"/>
      <c r="CP61" s="409"/>
      <c r="CQ61" s="409"/>
      <c r="CR61" s="409"/>
      <c r="CS61" s="409"/>
      <c r="CT61" s="409"/>
      <c r="CU61" s="409"/>
      <c r="CV61" s="409"/>
      <c r="CW61" s="409"/>
      <c r="CX61" s="409"/>
      <c r="CY61" s="409"/>
    </row>
    <row r="62" spans="1:103" s="420" customFormat="1" ht="15" customHeight="1" thickTop="1" thickBot="1">
      <c r="A62" s="2048" t="s">
        <v>734</v>
      </c>
      <c r="B62" s="2049"/>
      <c r="C62" s="2050"/>
      <c r="D62" s="1207"/>
      <c r="E62" s="1207"/>
      <c r="F62" s="1207"/>
      <c r="G62" s="1207"/>
      <c r="H62" s="1207"/>
      <c r="I62" s="1207"/>
      <c r="J62" s="1207"/>
      <c r="K62" s="422">
        <f>+D29+E29+F29+G29+H29+I29+J29+K29+D62+E62+F62+G62+H62+I62+J62</f>
        <v>0</v>
      </c>
      <c r="L62" s="1269"/>
      <c r="M62" s="1271">
        <f>+'FORM 1040-8'!R23-K62</f>
        <v>0</v>
      </c>
      <c r="N62" s="1270"/>
      <c r="O62" s="1270"/>
      <c r="P62" s="1270"/>
      <c r="Q62" s="418"/>
      <c r="R62" s="418"/>
      <c r="S62" s="418"/>
      <c r="T62" s="418"/>
      <c r="U62" s="418"/>
      <c r="V62" s="418"/>
      <c r="W62" s="418"/>
      <c r="X62" s="418"/>
      <c r="Y62" s="418"/>
      <c r="Z62" s="418"/>
      <c r="AA62" s="418"/>
      <c r="AB62" s="418"/>
      <c r="AC62" s="418"/>
      <c r="AD62" s="418"/>
      <c r="AE62" s="418"/>
      <c r="AF62" s="418"/>
      <c r="AG62" s="418"/>
      <c r="AH62" s="418"/>
      <c r="AI62" s="418"/>
      <c r="AJ62" s="418"/>
      <c r="AK62" s="418"/>
      <c r="AL62" s="418"/>
      <c r="AM62" s="418"/>
      <c r="AN62" s="418"/>
      <c r="AO62" s="418"/>
      <c r="AP62" s="418"/>
      <c r="AQ62" s="418"/>
      <c r="AR62" s="418"/>
      <c r="AS62" s="418"/>
      <c r="AT62" s="418"/>
      <c r="AU62" s="418"/>
      <c r="AV62" s="418"/>
      <c r="AW62" s="418"/>
      <c r="AX62" s="418"/>
      <c r="AY62" s="418"/>
      <c r="AZ62" s="418"/>
      <c r="BA62" s="418"/>
      <c r="BB62" s="418"/>
      <c r="BC62" s="418"/>
      <c r="BD62" s="418"/>
      <c r="BE62" s="418"/>
      <c r="BF62" s="418"/>
      <c r="BG62" s="418"/>
      <c r="BH62" s="418"/>
      <c r="BI62" s="418"/>
      <c r="BJ62" s="418"/>
      <c r="BK62" s="418"/>
      <c r="BL62" s="418"/>
      <c r="BM62" s="418"/>
      <c r="BN62" s="418"/>
      <c r="BO62" s="418"/>
      <c r="BP62" s="418"/>
      <c r="BQ62" s="418"/>
      <c r="BR62" s="418"/>
      <c r="BS62" s="418"/>
      <c r="BT62" s="418"/>
      <c r="BU62" s="418"/>
      <c r="BV62" s="418"/>
      <c r="BW62" s="418"/>
      <c r="BX62" s="418"/>
      <c r="BY62" s="418"/>
      <c r="BZ62" s="418"/>
      <c r="CA62" s="418"/>
      <c r="CB62" s="418"/>
      <c r="CC62" s="418"/>
      <c r="CD62" s="418"/>
      <c r="CE62" s="418"/>
      <c r="CF62" s="418"/>
      <c r="CG62" s="418"/>
      <c r="CH62" s="418"/>
      <c r="CI62" s="418"/>
      <c r="CJ62" s="418"/>
      <c r="CK62" s="418"/>
      <c r="CL62" s="418"/>
      <c r="CM62" s="418"/>
      <c r="CN62" s="418"/>
      <c r="CO62" s="418"/>
      <c r="CP62" s="419"/>
      <c r="CQ62" s="419"/>
      <c r="CR62" s="419"/>
      <c r="CS62" s="419"/>
      <c r="CT62" s="419"/>
      <c r="CU62" s="419"/>
      <c r="CV62" s="419"/>
      <c r="CW62" s="419"/>
      <c r="CX62" s="419"/>
      <c r="CY62" s="419"/>
    </row>
    <row r="63" spans="1:103" ht="15" customHeight="1" thickTop="1" thickBot="1">
      <c r="A63" s="2056" t="s">
        <v>736</v>
      </c>
      <c r="B63" s="2057"/>
      <c r="C63" s="2058"/>
      <c r="D63" s="1203">
        <f t="shared" ref="D63:J63" si="15">+D61-D62</f>
        <v>0</v>
      </c>
      <c r="E63" s="1203">
        <f t="shared" si="15"/>
        <v>0</v>
      </c>
      <c r="F63" s="1203">
        <f t="shared" si="15"/>
        <v>0</v>
      </c>
      <c r="G63" s="1203">
        <f t="shared" si="15"/>
        <v>0</v>
      </c>
      <c r="H63" s="1203">
        <f t="shared" si="15"/>
        <v>0</v>
      </c>
      <c r="I63" s="1203">
        <f t="shared" si="15"/>
        <v>0</v>
      </c>
      <c r="J63" s="1203">
        <f t="shared" si="15"/>
        <v>0</v>
      </c>
      <c r="K63" s="398"/>
      <c r="L63" s="108"/>
      <c r="M63" s="1263"/>
      <c r="N63" s="1263"/>
      <c r="O63" s="1263"/>
      <c r="P63" s="1263"/>
      <c r="CP63" s="399"/>
      <c r="CQ63" s="399"/>
      <c r="CR63" s="399"/>
      <c r="CS63" s="399"/>
      <c r="CT63" s="399"/>
      <c r="CU63" s="399"/>
      <c r="CV63" s="399"/>
      <c r="CW63" s="399"/>
      <c r="CX63" s="399"/>
      <c r="CY63" s="399"/>
    </row>
    <row r="64" spans="1:103" ht="15" customHeight="1" thickTop="1" thickBot="1">
      <c r="A64" s="2048" t="s">
        <v>1988</v>
      </c>
      <c r="B64" s="2049"/>
      <c r="C64" s="2050"/>
      <c r="D64" s="1204">
        <f>+K31+D63</f>
        <v>0</v>
      </c>
      <c r="E64" s="1204">
        <f t="shared" ref="E64:J64" si="16">+E63+D64</f>
        <v>0</v>
      </c>
      <c r="F64" s="1204">
        <f t="shared" si="16"/>
        <v>0</v>
      </c>
      <c r="G64" s="1204">
        <f t="shared" si="16"/>
        <v>0</v>
      </c>
      <c r="H64" s="1204">
        <f t="shared" si="16"/>
        <v>0</v>
      </c>
      <c r="I64" s="1204">
        <f t="shared" si="16"/>
        <v>0</v>
      </c>
      <c r="J64" s="1204">
        <f t="shared" si="16"/>
        <v>0</v>
      </c>
      <c r="K64" s="398"/>
      <c r="L64" s="108"/>
      <c r="M64" s="1263"/>
      <c r="N64" s="1263"/>
      <c r="O64" s="1263"/>
      <c r="P64" s="1263"/>
      <c r="CP64" s="399"/>
      <c r="CQ64" s="399"/>
      <c r="CR64" s="399"/>
      <c r="CS64" s="399"/>
      <c r="CT64" s="399"/>
      <c r="CU64" s="399"/>
      <c r="CV64" s="399"/>
      <c r="CW64" s="399"/>
      <c r="CX64" s="399"/>
      <c r="CY64" s="399"/>
    </row>
    <row r="65" spans="1:103" ht="6" customHeight="1" thickTop="1" thickBot="1">
      <c r="A65" s="2046"/>
      <c r="B65" s="2046"/>
      <c r="C65" s="2046"/>
      <c r="D65" s="405"/>
      <c r="E65" s="405"/>
      <c r="F65" s="405"/>
      <c r="G65" s="405"/>
      <c r="H65" s="405"/>
      <c r="I65" s="405"/>
      <c r="J65" s="405"/>
      <c r="K65" s="398"/>
      <c r="L65" s="108"/>
      <c r="M65" s="1263"/>
      <c r="N65" s="1263"/>
      <c r="O65" s="1263"/>
      <c r="P65" s="1263"/>
      <c r="CP65" s="399"/>
      <c r="CQ65" s="399"/>
      <c r="CR65" s="399"/>
      <c r="CS65" s="399"/>
      <c r="CT65" s="399"/>
      <c r="CU65" s="399"/>
      <c r="CV65" s="399"/>
      <c r="CW65" s="399"/>
      <c r="CX65" s="399"/>
      <c r="CY65" s="399"/>
    </row>
    <row r="66" spans="1:103" s="404" customFormat="1" ht="15" customHeight="1" thickTop="1" thickBot="1">
      <c r="A66" s="2048" t="s">
        <v>737</v>
      </c>
      <c r="B66" s="2049"/>
      <c r="C66" s="2050"/>
      <c r="D66" s="411">
        <f t="shared" ref="D66:J66" si="17">IF(ISERROR(1+D63/D54),0,1+D63/D54)</f>
        <v>0</v>
      </c>
      <c r="E66" s="411">
        <f t="shared" si="17"/>
        <v>0</v>
      </c>
      <c r="F66" s="411">
        <f t="shared" si="17"/>
        <v>0</v>
      </c>
      <c r="G66" s="411">
        <f t="shared" si="17"/>
        <v>0</v>
      </c>
      <c r="H66" s="411">
        <f t="shared" si="17"/>
        <v>0</v>
      </c>
      <c r="I66" s="411">
        <f t="shared" si="17"/>
        <v>0</v>
      </c>
      <c r="J66" s="411">
        <f t="shared" si="17"/>
        <v>0</v>
      </c>
      <c r="K66" s="400"/>
      <c r="L66" s="108"/>
      <c r="M66" s="1263"/>
      <c r="N66" s="1263"/>
      <c r="O66" s="1263"/>
      <c r="P66" s="1263"/>
      <c r="CP66" s="401"/>
      <c r="CQ66" s="401"/>
      <c r="CR66" s="401"/>
      <c r="CS66" s="401"/>
      <c r="CT66" s="401"/>
      <c r="CU66" s="401"/>
      <c r="CV66" s="401"/>
      <c r="CW66" s="401"/>
      <c r="CX66" s="401"/>
      <c r="CY66" s="401"/>
    </row>
    <row r="67" spans="1:103" s="404" customFormat="1" ht="15" customHeight="1" thickTop="1" thickBot="1">
      <c r="A67" s="2048" t="s">
        <v>1989</v>
      </c>
      <c r="B67" s="2049"/>
      <c r="C67" s="2050"/>
      <c r="D67" s="893">
        <f>IF(ISERROR(+D63/'FORM 1040-2'!$C$42),0,+D63/'FORM 1040-2'!$C$42)</f>
        <v>0</v>
      </c>
      <c r="E67" s="893">
        <f>IF(ISERROR(+E63/'FORM 1040-2'!$C$42),0,+E63/'FORM 1040-2'!$C$42)</f>
        <v>0</v>
      </c>
      <c r="F67" s="893">
        <f>IF(ISERROR(+F63/'FORM 1040-2'!$C$42),0,+F63/'FORM 1040-2'!$C$42)</f>
        <v>0</v>
      </c>
      <c r="G67" s="893">
        <f>IF(ISERROR(+G63/'FORM 1040-2'!$C$42),0,+G63/'FORM 1040-2'!$C$42)</f>
        <v>0</v>
      </c>
      <c r="H67" s="893">
        <f>IF(ISERROR(+H63/'FORM 1040-2'!$C$42),0,+H63/'FORM 1040-2'!$C$42)</f>
        <v>0</v>
      </c>
      <c r="I67" s="893">
        <f>IF(ISERROR(+I63/'FORM 1040-2'!$C$42),0,+I63/'FORM 1040-2'!$C$42)</f>
        <v>0</v>
      </c>
      <c r="J67" s="893">
        <f>IF(ISERROR(+J63/'FORM 1040-2'!$C$42),0,+J63/'FORM 1040-2'!$C$42)</f>
        <v>0</v>
      </c>
      <c r="K67" s="400"/>
      <c r="L67" s="108"/>
      <c r="M67" s="1263"/>
      <c r="N67" s="1263"/>
      <c r="O67" s="1263"/>
      <c r="P67" s="1263"/>
      <c r="CP67" s="401"/>
      <c r="CQ67" s="401"/>
      <c r="CR67" s="401"/>
      <c r="CS67" s="401"/>
      <c r="CT67" s="401"/>
      <c r="CU67" s="401"/>
      <c r="CV67" s="401"/>
      <c r="CW67" s="401"/>
      <c r="CX67" s="401"/>
      <c r="CY67" s="401"/>
    </row>
    <row r="68" spans="1:103" ht="13.5" thickTop="1">
      <c r="L68" s="1263"/>
      <c r="M68" s="1263"/>
      <c r="N68" s="1263"/>
      <c r="O68" s="1263"/>
      <c r="P68" s="1263"/>
    </row>
    <row r="69" spans="1:103">
      <c r="L69" s="1263"/>
      <c r="M69" s="1263"/>
      <c r="N69" s="1263"/>
      <c r="O69" s="1263"/>
      <c r="P69" s="1263"/>
    </row>
    <row r="70" spans="1:103">
      <c r="L70" s="1263"/>
      <c r="M70" s="1263"/>
      <c r="N70" s="1263"/>
      <c r="O70" s="1263"/>
      <c r="P70" s="1263"/>
    </row>
    <row r="71" spans="1:103">
      <c r="L71" s="1263"/>
      <c r="M71" s="1263"/>
      <c r="N71" s="1263"/>
      <c r="O71" s="1263"/>
      <c r="P71" s="1263"/>
    </row>
    <row r="72" spans="1:103">
      <c r="L72" s="1263"/>
      <c r="M72" s="1263"/>
      <c r="N72" s="1263"/>
      <c r="O72" s="1263"/>
      <c r="P72" s="1263"/>
    </row>
    <row r="73" spans="1:103">
      <c r="L73" s="1263"/>
      <c r="M73" s="1263"/>
      <c r="N73" s="1263"/>
      <c r="O73" s="1263"/>
      <c r="P73" s="1263"/>
    </row>
    <row r="74" spans="1:103">
      <c r="L74" s="1263"/>
      <c r="M74" s="1263"/>
      <c r="N74" s="1263"/>
      <c r="O74" s="1263"/>
      <c r="P74" s="1263"/>
    </row>
    <row r="75" spans="1:103">
      <c r="L75" s="1263"/>
      <c r="M75" s="1263"/>
      <c r="N75" s="1263"/>
      <c r="O75" s="1263"/>
      <c r="P75" s="1263"/>
    </row>
    <row r="76" spans="1:103">
      <c r="L76" s="1263"/>
      <c r="M76" s="1263"/>
      <c r="N76" s="1263"/>
      <c r="O76" s="1263"/>
      <c r="P76" s="1263"/>
    </row>
    <row r="77" spans="1:103">
      <c r="L77" s="1263"/>
      <c r="M77" s="1263"/>
      <c r="N77" s="1263"/>
      <c r="O77" s="1263"/>
      <c r="P77" s="1263"/>
    </row>
    <row r="78" spans="1:103">
      <c r="L78" s="1263"/>
      <c r="M78" s="1263"/>
      <c r="N78" s="1263"/>
      <c r="O78" s="1263"/>
      <c r="P78" s="1263"/>
    </row>
    <row r="79" spans="1:103">
      <c r="L79" s="1263"/>
      <c r="M79" s="1263"/>
      <c r="N79" s="1263"/>
      <c r="O79" s="1263"/>
      <c r="P79" s="1263"/>
    </row>
    <row r="80" spans="1:103">
      <c r="L80" s="1263"/>
      <c r="M80" s="1263"/>
      <c r="N80" s="1263"/>
      <c r="O80" s="1263"/>
      <c r="P80" s="1263"/>
    </row>
    <row r="81" spans="12:16">
      <c r="L81" s="1263"/>
      <c r="M81" s="1263"/>
      <c r="N81" s="1263"/>
      <c r="O81" s="1263"/>
      <c r="P81" s="1263"/>
    </row>
    <row r="82" spans="12:16">
      <c r="L82" s="1263"/>
      <c r="M82" s="1263"/>
      <c r="N82" s="1263"/>
      <c r="O82" s="1263"/>
      <c r="P82" s="1263"/>
    </row>
    <row r="83" spans="12:16">
      <c r="L83" s="1263"/>
      <c r="M83" s="1263"/>
      <c r="N83" s="1263"/>
      <c r="O83" s="1263"/>
      <c r="P83" s="1263"/>
    </row>
    <row r="84" spans="12:16">
      <c r="L84" s="1263"/>
      <c r="M84" s="1263"/>
      <c r="N84" s="1263"/>
      <c r="O84" s="1263"/>
      <c r="P84" s="1263"/>
    </row>
    <row r="85" spans="12:16">
      <c r="L85" s="1263"/>
      <c r="M85" s="1263"/>
      <c r="N85" s="1263"/>
      <c r="O85" s="1263"/>
      <c r="P85" s="1263"/>
    </row>
    <row r="86" spans="12:16">
      <c r="L86" s="1263"/>
      <c r="M86" s="1263"/>
      <c r="N86" s="1263"/>
      <c r="O86" s="1263"/>
      <c r="P86" s="1263"/>
    </row>
    <row r="87" spans="12:16">
      <c r="L87" s="1263"/>
      <c r="M87" s="1263"/>
      <c r="N87" s="1263"/>
      <c r="O87" s="1263"/>
      <c r="P87" s="1263"/>
    </row>
    <row r="88" spans="12:16">
      <c r="L88" s="1263"/>
      <c r="M88" s="1263"/>
      <c r="N88" s="1263"/>
      <c r="O88" s="1263"/>
      <c r="P88" s="1263"/>
    </row>
    <row r="89" spans="12:16">
      <c r="L89" s="1263"/>
      <c r="M89" s="1263"/>
      <c r="N89" s="1263"/>
      <c r="O89" s="1263"/>
      <c r="P89" s="1263"/>
    </row>
    <row r="90" spans="12:16">
      <c r="L90" s="1263"/>
      <c r="M90" s="1263"/>
      <c r="N90" s="1263"/>
      <c r="O90" s="1263"/>
      <c r="P90" s="1263"/>
    </row>
    <row r="91" spans="12:16">
      <c r="L91" s="1263"/>
      <c r="M91" s="1263"/>
      <c r="N91" s="1263"/>
      <c r="O91" s="1263"/>
      <c r="P91" s="1263"/>
    </row>
    <row r="92" spans="12:16">
      <c r="L92" s="1263"/>
      <c r="M92" s="1263"/>
      <c r="N92" s="1263"/>
      <c r="O92" s="1263"/>
      <c r="P92" s="1263"/>
    </row>
    <row r="93" spans="12:16">
      <c r="L93" s="1263"/>
      <c r="M93" s="1263"/>
      <c r="N93" s="1263"/>
      <c r="O93" s="1263"/>
      <c r="P93" s="1263"/>
    </row>
    <row r="94" spans="12:16">
      <c r="L94" s="1263"/>
      <c r="M94" s="1263"/>
      <c r="N94" s="1263"/>
      <c r="O94" s="1263"/>
      <c r="P94" s="1263"/>
    </row>
    <row r="95" spans="12:16">
      <c r="L95" s="1263"/>
      <c r="M95" s="1263"/>
      <c r="N95" s="1263"/>
      <c r="O95" s="1263"/>
      <c r="P95" s="1263"/>
    </row>
    <row r="96" spans="12:16">
      <c r="L96" s="1263"/>
      <c r="M96" s="1263"/>
      <c r="N96" s="1263"/>
      <c r="O96" s="1263"/>
      <c r="P96" s="1263"/>
    </row>
  </sheetData>
  <sheetProtection algorithmName="SHA-512" hashValue="28ffKQwJadgMZEHK4e6AEAT+ONrttPxoH/nGNFzd02mntFD7ho9/yXuOFtdxB/JsrQ/lHXSKH7gJGEKLusrgJQ==" saltValue="DH1W9YDjXIKRhaggKPvWhQ==" spinCount="100000" sheet="1" objects="1" scenarios="1"/>
  <mergeCells count="65">
    <mergeCell ref="L1:N4"/>
    <mergeCell ref="M58:M61"/>
    <mergeCell ref="B3:K3"/>
    <mergeCell ref="K60:K61"/>
    <mergeCell ref="A6:B6"/>
    <mergeCell ref="A7:B7"/>
    <mergeCell ref="D5:K5"/>
    <mergeCell ref="A9:B9"/>
    <mergeCell ref="A12:B12"/>
    <mergeCell ref="A8:B8"/>
    <mergeCell ref="A11:B11"/>
    <mergeCell ref="A13:B13"/>
    <mergeCell ref="A14:B14"/>
    <mergeCell ref="A15:B15"/>
    <mergeCell ref="A22:C22"/>
    <mergeCell ref="A23:C23"/>
    <mergeCell ref="A24:C24"/>
    <mergeCell ref="D38:J38"/>
    <mergeCell ref="A10:C10"/>
    <mergeCell ref="A16:C16"/>
    <mergeCell ref="A21:C21"/>
    <mergeCell ref="A17:B17"/>
    <mergeCell ref="A18:B18"/>
    <mergeCell ref="A20:B20"/>
    <mergeCell ref="A25:C25"/>
    <mergeCell ref="A26:C26"/>
    <mergeCell ref="A28:C28"/>
    <mergeCell ref="A29:C29"/>
    <mergeCell ref="A30:C30"/>
    <mergeCell ref="A19:C19"/>
    <mergeCell ref="A49:C49"/>
    <mergeCell ref="A50:C50"/>
    <mergeCell ref="A51:C51"/>
    <mergeCell ref="A54:C54"/>
    <mergeCell ref="A55:C55"/>
    <mergeCell ref="A53:C53"/>
    <mergeCell ref="A52:C52"/>
    <mergeCell ref="A56:C56"/>
    <mergeCell ref="A58:C58"/>
    <mergeCell ref="A59:C59"/>
    <mergeCell ref="A61:C61"/>
    <mergeCell ref="A62:C62"/>
    <mergeCell ref="B60:C60"/>
    <mergeCell ref="A57:C57"/>
    <mergeCell ref="A63:C63"/>
    <mergeCell ref="A64:C64"/>
    <mergeCell ref="A66:C66"/>
    <mergeCell ref="A67:C67"/>
    <mergeCell ref="A65:C65"/>
    <mergeCell ref="C5:C6"/>
    <mergeCell ref="A48:C48"/>
    <mergeCell ref="A46:C46"/>
    <mergeCell ref="A44:C44"/>
    <mergeCell ref="A32:C32"/>
    <mergeCell ref="A27:C27"/>
    <mergeCell ref="A41:C41"/>
    <mergeCell ref="A42:C42"/>
    <mergeCell ref="A43:C43"/>
    <mergeCell ref="A45:C45"/>
    <mergeCell ref="A47:C47"/>
    <mergeCell ref="A31:C31"/>
    <mergeCell ref="A33:C33"/>
    <mergeCell ref="A34:C34"/>
    <mergeCell ref="A39:C39"/>
    <mergeCell ref="A40:C40"/>
  </mergeCells>
  <pageMargins left="0.75" right="0.5" top="0.5" bottom="0.75" header="0" footer="0.5"/>
  <pageSetup scale="80" firstPageNumber="25" orientation="portrait" verticalDpi="300" r:id="rId1"/>
  <headerFooter alignWithMargins="0">
    <oddFooter>&amp;C&amp;A&amp;R&amp;D &amp;T</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1">
    <pageSetUpPr fitToPage="1"/>
  </sheetPr>
  <dimension ref="A1:DL67"/>
  <sheetViews>
    <sheetView zoomScale="120" zoomScaleNormal="120" workbookViewId="0"/>
  </sheetViews>
  <sheetFormatPr defaultRowHeight="12.75"/>
  <cols>
    <col min="1" max="1" width="4.7109375" style="39" customWidth="1"/>
    <col min="2" max="3" width="2.7109375" style="39" customWidth="1"/>
    <col min="4" max="4" width="30.7109375" style="39" customWidth="1"/>
    <col min="5" max="13" width="9.5703125" style="39" customWidth="1"/>
    <col min="14" max="14" width="12.7109375" style="1512" customWidth="1"/>
    <col min="15" max="15" width="12.7109375" style="39" customWidth="1"/>
    <col min="16" max="16" width="7.42578125" style="1512" customWidth="1"/>
    <col min="17" max="17" width="5.7109375" style="6" customWidth="1"/>
    <col min="18" max="19" width="9.5703125" style="39" hidden="1" customWidth="1"/>
    <col min="20" max="20" width="9.5703125" style="1512" hidden="1" customWidth="1"/>
    <col min="21" max="21" width="9.5703125" style="404" hidden="1" customWidth="1"/>
    <col min="22" max="22" width="5.7109375" style="6" customWidth="1"/>
    <col min="23" max="23" width="9.5703125" style="39" customWidth="1"/>
    <col min="24" max="24" width="10.140625" style="39" customWidth="1"/>
    <col min="25" max="47" width="9.5703125" style="39" customWidth="1"/>
    <col min="48" max="70" width="11" style="39" customWidth="1"/>
    <col min="71" max="71" width="11.28515625" style="39" customWidth="1"/>
    <col min="72" max="72" width="10.140625" style="39" customWidth="1"/>
    <col min="73" max="16384" width="9.140625" style="39"/>
  </cols>
  <sheetData>
    <row r="1" spans="1:116" ht="12.75" customHeight="1">
      <c r="A1" s="1302" t="str">
        <f>IF('FORM 1040-1'!D15="","",'FORM 1040-1'!D15)</f>
        <v/>
      </c>
      <c r="B1" s="1302"/>
      <c r="C1" s="1302"/>
      <c r="D1" s="1303"/>
      <c r="E1" s="1303"/>
      <c r="F1" s="1303"/>
      <c r="G1" s="1303"/>
      <c r="H1" s="1303"/>
      <c r="I1" s="1303"/>
      <c r="J1" s="1303"/>
      <c r="K1" s="1303"/>
      <c r="L1" s="1294" t="str">
        <f>IF('FORM 1040-1'!$E$12="","",'FORM 1040-1'!$E$12)</f>
        <v/>
      </c>
      <c r="M1" s="2072" t="s">
        <v>1621</v>
      </c>
      <c r="N1" s="2072"/>
      <c r="O1" s="2072"/>
      <c r="P1" s="1510"/>
      <c r="R1" s="39">
        <v>1</v>
      </c>
      <c r="S1" s="39" t="b">
        <f>IF('FORM 1040-14'!$D$22&lt;0,TRUE,FALSE)</f>
        <v>0</v>
      </c>
      <c r="T1" s="1529">
        <f>+'FORM 1040-14'!D25</f>
        <v>0</v>
      </c>
      <c r="U1" s="1529"/>
    </row>
    <row r="2" spans="1:116">
      <c r="M2" s="2072"/>
      <c r="N2" s="2072"/>
      <c r="O2" s="2072"/>
      <c r="P2" s="1510"/>
      <c r="R2" s="39">
        <v>2</v>
      </c>
      <c r="S2" s="39" t="b">
        <f>IF('FORM 1040-14'!$E$22&lt;0,TRUE,FALSE)</f>
        <v>0</v>
      </c>
      <c r="T2" s="1529">
        <f>+'FORM 1040-14'!E25</f>
        <v>0</v>
      </c>
      <c r="U2" s="1529"/>
    </row>
    <row r="3" spans="1:116" ht="30" customHeight="1">
      <c r="A3" s="2087" t="s">
        <v>2883</v>
      </c>
      <c r="B3" s="2087"/>
      <c r="C3" s="2087"/>
      <c r="D3" s="2087"/>
      <c r="E3" s="2087"/>
      <c r="F3" s="2087"/>
      <c r="G3" s="2087"/>
      <c r="H3" s="2087"/>
      <c r="I3" s="2087"/>
      <c r="J3" s="2087"/>
      <c r="K3" s="2087"/>
      <c r="L3" s="2087"/>
      <c r="M3" s="2072"/>
      <c r="N3" s="2072"/>
      <c r="O3" s="2072"/>
      <c r="P3" s="1510"/>
      <c r="R3" s="39">
        <v>3</v>
      </c>
      <c r="S3" s="39" t="b">
        <f>IF('FORM 1040-14'!$F$22&lt;0,TRUE,FALSE)</f>
        <v>0</v>
      </c>
      <c r="T3" s="1529">
        <f>+'FORM 1040-14'!F25</f>
        <v>0</v>
      </c>
      <c r="U3" s="1529"/>
    </row>
    <row r="4" spans="1:116">
      <c r="M4" s="1530"/>
      <c r="N4" s="1530"/>
      <c r="O4" s="1530"/>
      <c r="P4" s="1530"/>
      <c r="R4" s="39">
        <v>4</v>
      </c>
      <c r="S4" s="39" t="b">
        <f>IF('FORM 1040-14'!$G$22&lt;0,TRUE,FALSE)</f>
        <v>0</v>
      </c>
      <c r="T4" s="1529">
        <f>+'FORM 1040-14'!G25</f>
        <v>0</v>
      </c>
      <c r="U4" s="1529"/>
    </row>
    <row r="5" spans="1:116" ht="15" customHeight="1">
      <c r="A5" s="1079" t="s">
        <v>20</v>
      </c>
      <c r="B5" s="2093" t="s">
        <v>2326</v>
      </c>
      <c r="C5" s="2093"/>
      <c r="D5" s="2093"/>
      <c r="E5" s="2093"/>
      <c r="F5" s="2093"/>
      <c r="G5" s="2093"/>
      <c r="H5" s="2093"/>
      <c r="I5" s="2093"/>
      <c r="J5" s="2093"/>
      <c r="K5" s="2093"/>
      <c r="L5" s="2093"/>
      <c r="M5" s="886"/>
      <c r="N5" s="1511"/>
      <c r="O5" s="886"/>
      <c r="P5" s="1511"/>
      <c r="R5" s="39">
        <v>5</v>
      </c>
      <c r="S5" s="39" t="b">
        <f>IF('FORM 1040-14'!$H$22&lt;0,TRUE,FALSE)</f>
        <v>0</v>
      </c>
      <c r="T5" s="1529">
        <f>+'FORM 1040-14'!H25</f>
        <v>0</v>
      </c>
      <c r="U5" s="1529"/>
      <c r="W5" s="886"/>
    </row>
    <row r="6" spans="1:116" ht="12.95" customHeight="1" thickBot="1">
      <c r="A6" s="876"/>
      <c r="B6" s="984"/>
      <c r="C6" s="984"/>
      <c r="D6" s="886"/>
      <c r="E6" s="886"/>
      <c r="F6" s="886"/>
      <c r="G6" s="886"/>
      <c r="H6" s="886"/>
      <c r="I6" s="886"/>
      <c r="J6" s="886"/>
      <c r="K6" s="886"/>
      <c r="L6" s="886"/>
      <c r="M6" s="886"/>
      <c r="N6" s="1511"/>
      <c r="O6" s="886"/>
      <c r="P6" s="1511"/>
      <c r="R6" s="39">
        <v>6</v>
      </c>
      <c r="S6" s="39" t="b">
        <f>IF('FORM 1040-14'!$I$22&lt;0,TRUE,FALSE)</f>
        <v>0</v>
      </c>
      <c r="T6" s="1529">
        <f>+'FORM 1040-14'!I25</f>
        <v>0</v>
      </c>
      <c r="U6" s="1529"/>
      <c r="W6" s="886"/>
    </row>
    <row r="7" spans="1:116" ht="15" customHeight="1" thickTop="1" thickBot="1">
      <c r="A7" s="884"/>
      <c r="B7" s="998"/>
      <c r="C7" s="998"/>
      <c r="D7" s="884"/>
      <c r="E7" s="2062" t="s">
        <v>68</v>
      </c>
      <c r="F7" s="2078"/>
      <c r="G7" s="2078"/>
      <c r="H7" s="2078"/>
      <c r="I7" s="2078"/>
      <c r="J7" s="2078"/>
      <c r="K7" s="2078"/>
      <c r="L7" s="2079"/>
      <c r="M7" s="247"/>
      <c r="N7" s="247"/>
      <c r="O7" s="247"/>
      <c r="P7" s="247"/>
      <c r="R7" s="39">
        <v>7</v>
      </c>
      <c r="S7" s="39" t="b">
        <f>IF('FORM 1040-14'!$J$22&lt;0,TRUE,FALSE)</f>
        <v>0</v>
      </c>
      <c r="T7" s="1529">
        <f>+'FORM 1040-14'!J25</f>
        <v>0</v>
      </c>
      <c r="U7" s="1529"/>
      <c r="W7" s="247"/>
      <c r="X7" s="108"/>
      <c r="Y7" s="108"/>
    </row>
    <row r="8" spans="1:116" ht="15" customHeight="1" thickTop="1" thickBot="1">
      <c r="A8" s="1780" t="s">
        <v>98</v>
      </c>
      <c r="B8" s="1843"/>
      <c r="C8" s="1843"/>
      <c r="D8" s="1843"/>
      <c r="E8" s="396" t="s">
        <v>83</v>
      </c>
      <c r="F8" s="396" t="s">
        <v>1971</v>
      </c>
      <c r="G8" s="396" t="s">
        <v>1972</v>
      </c>
      <c r="H8" s="396" t="s">
        <v>1973</v>
      </c>
      <c r="I8" s="396" t="s">
        <v>1974</v>
      </c>
      <c r="J8" s="396" t="s">
        <v>1975</v>
      </c>
      <c r="K8" s="396" t="s">
        <v>1976</v>
      </c>
      <c r="L8" s="396" t="s">
        <v>1977</v>
      </c>
      <c r="M8" s="88"/>
      <c r="N8" s="88"/>
      <c r="O8" s="88"/>
      <c r="P8" s="88"/>
      <c r="R8" s="39">
        <v>8</v>
      </c>
      <c r="S8" s="39" t="b">
        <f>IF('FORM 1040-14'!$K$22&lt;0,TRUE,FALSE)</f>
        <v>0</v>
      </c>
      <c r="T8" s="1529">
        <f>+'FORM 1040-14'!K25</f>
        <v>0</v>
      </c>
      <c r="U8" s="1529"/>
      <c r="W8" s="88"/>
      <c r="X8" s="108"/>
      <c r="Y8" s="108"/>
    </row>
    <row r="9" spans="1:116" s="399" customFormat="1" ht="15" customHeight="1" thickTop="1" thickBot="1">
      <c r="A9" s="2077" t="s">
        <v>787</v>
      </c>
      <c r="B9" s="2077"/>
      <c r="C9" s="2077"/>
      <c r="D9" s="2077"/>
      <c r="E9" s="1205">
        <f>+'FORM 1040-14'!J40</f>
        <v>0</v>
      </c>
      <c r="F9" s="1205">
        <f>+E9*(1+'FORM 1040-13'!$D$48)</f>
        <v>0</v>
      </c>
      <c r="G9" s="1205">
        <f>+F9*(1+'FORM 1040-13'!$D$48)</f>
        <v>0</v>
      </c>
      <c r="H9" s="1205">
        <f>+G9*(1+'FORM 1040-13'!$D$48)</f>
        <v>0</v>
      </c>
      <c r="I9" s="1205">
        <f>+H9*(1+'FORM 1040-13'!$D$48)</f>
        <v>0</v>
      </c>
      <c r="J9" s="1205">
        <f>+I9*(1+'FORM 1040-13'!$D$48)</f>
        <v>0</v>
      </c>
      <c r="K9" s="1205">
        <f>+J9*(1+'FORM 1040-13'!$D$48)</f>
        <v>0</v>
      </c>
      <c r="L9" s="1205">
        <f>+K9*(1+'FORM 1040-13'!$D$48)</f>
        <v>0</v>
      </c>
      <c r="M9" s="397"/>
      <c r="N9" s="397"/>
      <c r="O9" s="397"/>
      <c r="P9" s="397"/>
      <c r="Q9" s="6"/>
      <c r="R9" s="39">
        <v>9</v>
      </c>
      <c r="S9" s="39" t="b">
        <f>IF('FORM 1040-14'!$D$55&lt;0,TRUE,FALSE)</f>
        <v>0</v>
      </c>
      <c r="T9" s="1529">
        <f>+'FORM 1040-14'!D58</f>
        <v>0</v>
      </c>
      <c r="U9" s="1529"/>
      <c r="V9" s="6"/>
      <c r="W9" s="397"/>
      <c r="X9" s="398"/>
      <c r="Y9" s="108"/>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row>
    <row r="10" spans="1:116" s="401" customFormat="1" ht="15" customHeight="1" thickTop="1" thickBot="1">
      <c r="A10" s="2077" t="s">
        <v>788</v>
      </c>
      <c r="B10" s="2077"/>
      <c r="C10" s="2077"/>
      <c r="D10" s="2077"/>
      <c r="E10" s="1205">
        <f>+'FORM 1040-14'!J41</f>
        <v>0</v>
      </c>
      <c r="F10" s="1205">
        <f>+E10*(1+'FORM 1040-13'!$D$50)</f>
        <v>0</v>
      </c>
      <c r="G10" s="1205">
        <f>+F10*(1+'FORM 1040-13'!$D$50)</f>
        <v>0</v>
      </c>
      <c r="H10" s="1205">
        <f>+G10*(1+'FORM 1040-13'!$D$50)</f>
        <v>0</v>
      </c>
      <c r="I10" s="1205">
        <f>+H10*(1+'FORM 1040-13'!$D$50)</f>
        <v>0</v>
      </c>
      <c r="J10" s="1205">
        <f>+I10*(1+'FORM 1040-13'!$D$50)</f>
        <v>0</v>
      </c>
      <c r="K10" s="1205">
        <f>+J10*(1+'FORM 1040-13'!$D$50)</f>
        <v>0</v>
      </c>
      <c r="L10" s="1205">
        <f>+K10*(1+'FORM 1040-13'!$D$50)</f>
        <v>0</v>
      </c>
      <c r="M10" s="397"/>
      <c r="N10" s="397"/>
      <c r="O10" s="397"/>
      <c r="P10" s="397"/>
      <c r="Q10" s="6"/>
      <c r="R10" s="39">
        <v>10</v>
      </c>
      <c r="S10" s="39" t="b">
        <f>IF('FORM 1040-14'!$E$55&lt;0,TRUE,FALSE)</f>
        <v>0</v>
      </c>
      <c r="T10" s="1529">
        <f>+'FORM 1040-14'!E58</f>
        <v>0</v>
      </c>
      <c r="U10" s="1529"/>
      <c r="V10" s="6"/>
      <c r="W10" s="397"/>
      <c r="X10" s="400"/>
      <c r="Y10" s="108"/>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row>
    <row r="11" spans="1:116" s="401" customFormat="1" ht="15" customHeight="1" thickTop="1" thickBot="1">
      <c r="A11" s="2077" t="s">
        <v>84</v>
      </c>
      <c r="B11" s="2077"/>
      <c r="C11" s="2077"/>
      <c r="D11" s="2077"/>
      <c r="E11" s="1205">
        <f>+'FORM 1040-14'!J42</f>
        <v>0</v>
      </c>
      <c r="F11" s="1205">
        <f>+E11*(1+'FORM 1040-13'!$D$52)</f>
        <v>0</v>
      </c>
      <c r="G11" s="1205">
        <f>+F11*(1+'FORM 1040-13'!$D$52)</f>
        <v>0</v>
      </c>
      <c r="H11" s="1205">
        <f>+G11*(1+'FORM 1040-13'!$D$52)</f>
        <v>0</v>
      </c>
      <c r="I11" s="1205">
        <f>+H11*(1+'FORM 1040-13'!$D$52)</f>
        <v>0</v>
      </c>
      <c r="J11" s="1205">
        <f>+I11*(1+'FORM 1040-13'!$D$52)</f>
        <v>0</v>
      </c>
      <c r="K11" s="1205">
        <f>+J11*(1+'FORM 1040-13'!$D$52)</f>
        <v>0</v>
      </c>
      <c r="L11" s="1205">
        <f>+K11*(1+'FORM 1040-13'!$D$52)</f>
        <v>0</v>
      </c>
      <c r="M11" s="397"/>
      <c r="N11" s="397"/>
      <c r="O11" s="397"/>
      <c r="P11" s="397"/>
      <c r="Q11" s="6"/>
      <c r="R11" s="39">
        <v>11</v>
      </c>
      <c r="S11" s="39" t="b">
        <f>IF('FORM 1040-14'!$F$55&lt;0,TRUE,FALSE)</f>
        <v>0</v>
      </c>
      <c r="T11" s="1529">
        <f>+'FORM 1040-14'!F58</f>
        <v>0</v>
      </c>
      <c r="U11" s="1529"/>
      <c r="V11" s="6"/>
      <c r="W11" s="397"/>
      <c r="X11" s="400"/>
      <c r="Y11" s="108"/>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row>
    <row r="12" spans="1:116" ht="15" customHeight="1" thickTop="1" thickBot="1">
      <c r="A12" s="2091" t="s">
        <v>730</v>
      </c>
      <c r="B12" s="2091"/>
      <c r="C12" s="2091"/>
      <c r="D12" s="2091"/>
      <c r="E12" s="1203">
        <f t="shared" ref="E12:L12" si="0">SUM(E9:E11)</f>
        <v>0</v>
      </c>
      <c r="F12" s="1203">
        <f t="shared" si="0"/>
        <v>0</v>
      </c>
      <c r="G12" s="1203">
        <f t="shared" si="0"/>
        <v>0</v>
      </c>
      <c r="H12" s="1203">
        <f t="shared" si="0"/>
        <v>0</v>
      </c>
      <c r="I12" s="1203">
        <f t="shared" si="0"/>
        <v>0</v>
      </c>
      <c r="J12" s="1203">
        <f t="shared" si="0"/>
        <v>0</v>
      </c>
      <c r="K12" s="1203">
        <f t="shared" si="0"/>
        <v>0</v>
      </c>
      <c r="L12" s="1203">
        <f t="shared" si="0"/>
        <v>0</v>
      </c>
      <c r="M12" s="397"/>
      <c r="N12" s="397"/>
      <c r="O12" s="397"/>
      <c r="P12" s="397"/>
      <c r="R12" s="39">
        <v>12</v>
      </c>
      <c r="S12" s="39" t="b">
        <f>IF('FORM 1040-14'!$G$55&lt;0,TRUE,FALSE)</f>
        <v>0</v>
      </c>
      <c r="T12" s="1529">
        <f>+'FORM 1040-14'!G58</f>
        <v>0</v>
      </c>
      <c r="U12" s="1529"/>
      <c r="W12" s="397"/>
      <c r="X12" s="108"/>
      <c r="Y12" s="108"/>
    </row>
    <row r="13" spans="1:116" ht="9.9499999999999993" customHeight="1" thickTop="1" thickBot="1">
      <c r="A13" s="2044"/>
      <c r="B13" s="2044"/>
      <c r="C13" s="2044"/>
      <c r="D13" s="2044"/>
      <c r="E13" s="1210"/>
      <c r="F13" s="1210"/>
      <c r="G13" s="1210"/>
      <c r="H13" s="1210"/>
      <c r="I13" s="1210"/>
      <c r="J13" s="1210"/>
      <c r="K13" s="1210"/>
      <c r="L13" s="1210"/>
      <c r="M13" s="402"/>
      <c r="N13" s="402"/>
      <c r="O13" s="402"/>
      <c r="P13" s="402"/>
      <c r="R13" s="39">
        <v>13</v>
      </c>
      <c r="S13" s="39" t="b">
        <f>IF('FORM 1040-14'!$H$55&lt;0,TRUE,FALSE)</f>
        <v>0</v>
      </c>
      <c r="T13" s="1529">
        <f>+'FORM 1040-14'!H58</f>
        <v>0</v>
      </c>
      <c r="U13" s="1529"/>
      <c r="W13" s="402"/>
      <c r="X13" s="108"/>
      <c r="Y13" s="108"/>
    </row>
    <row r="14" spans="1:116" s="401" customFormat="1" ht="15" customHeight="1" thickTop="1" thickBot="1">
      <c r="A14" s="2077" t="s">
        <v>731</v>
      </c>
      <c r="B14" s="2077"/>
      <c r="C14" s="2077"/>
      <c r="D14" s="2077"/>
      <c r="E14" s="1205">
        <f>+'FORM 1040-14'!J45</f>
        <v>0</v>
      </c>
      <c r="F14" s="1205">
        <f>+E14*(1+'FORM 1040-13'!$D$54)</f>
        <v>0</v>
      </c>
      <c r="G14" s="1205">
        <f>+F14*(1+'FORM 1040-13'!$D$54)</f>
        <v>0</v>
      </c>
      <c r="H14" s="1205">
        <f>+G14*(1+'FORM 1040-13'!$D$54)</f>
        <v>0</v>
      </c>
      <c r="I14" s="1205">
        <f>+H14*(1+'FORM 1040-13'!$D$54)</f>
        <v>0</v>
      </c>
      <c r="J14" s="1205">
        <f>+I14*(1+'FORM 1040-13'!$D$54)</f>
        <v>0</v>
      </c>
      <c r="K14" s="1205">
        <f>+J14*(1+'FORM 1040-13'!$D$54)</f>
        <v>0</v>
      </c>
      <c r="L14" s="1203">
        <f>+K14*(1+'FORM 1040-13'!$D$54)</f>
        <v>0</v>
      </c>
      <c r="M14" s="397"/>
      <c r="N14" s="397"/>
      <c r="O14" s="397"/>
      <c r="P14" s="397"/>
      <c r="Q14" s="6"/>
      <c r="R14" s="39">
        <v>14</v>
      </c>
      <c r="S14" s="39" t="b">
        <f>IF('FORM 1040-14'!$I$55&lt;0,TRUE,FALSE)</f>
        <v>0</v>
      </c>
      <c r="T14" s="1529">
        <f>+'FORM 1040-14'!I58</f>
        <v>0</v>
      </c>
      <c r="U14" s="1529"/>
      <c r="V14" s="6"/>
      <c r="W14" s="397"/>
      <c r="X14" s="400"/>
      <c r="Y14" s="108"/>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row>
    <row r="15" spans="1:116" ht="9.9499999999999993" customHeight="1" thickTop="1" thickBot="1">
      <c r="A15" s="2044"/>
      <c r="B15" s="2044"/>
      <c r="C15" s="2044"/>
      <c r="D15" s="2044"/>
      <c r="E15" s="1210"/>
      <c r="F15" s="1210"/>
      <c r="G15" s="1210"/>
      <c r="H15" s="1210"/>
      <c r="I15" s="1210"/>
      <c r="J15" s="1210"/>
      <c r="K15" s="1210"/>
      <c r="L15" s="1210"/>
      <c r="M15" s="402"/>
      <c r="N15" s="402"/>
      <c r="O15" s="402"/>
      <c r="P15" s="402"/>
      <c r="R15" s="39">
        <v>15</v>
      </c>
      <c r="S15" s="39" t="b">
        <f>IF('FORM 1040-14'!$J$55&lt;0,TRUE,FALSE)</f>
        <v>0</v>
      </c>
      <c r="T15" s="1529">
        <f>+'FORM 1040-14'!J58</f>
        <v>0</v>
      </c>
      <c r="U15" s="1529">
        <f>AVERAGE(T1:T15)</f>
        <v>0</v>
      </c>
      <c r="W15" s="402"/>
      <c r="X15" s="108"/>
      <c r="Y15" s="108"/>
    </row>
    <row r="16" spans="1:116" s="404" customFormat="1" ht="15" customHeight="1" thickTop="1" thickBot="1">
      <c r="A16" s="2080" t="s">
        <v>2382</v>
      </c>
      <c r="B16" s="2080"/>
      <c r="C16" s="2080"/>
      <c r="D16" s="2080"/>
      <c r="E16" s="1205">
        <f>+'FORM 1040-14'!J47</f>
        <v>0</v>
      </c>
      <c r="F16" s="1205">
        <f>+E16*(1+'FORM 1040-13'!$D$56)</f>
        <v>0</v>
      </c>
      <c r="G16" s="1205">
        <f>+F16*(1+'FORM 1040-13'!$D$56)</f>
        <v>0</v>
      </c>
      <c r="H16" s="1205">
        <f>+G16*(1+'FORM 1040-13'!$D$56)</f>
        <v>0</v>
      </c>
      <c r="I16" s="1205">
        <f>+H16*(1+'FORM 1040-13'!$D$56)</f>
        <v>0</v>
      </c>
      <c r="J16" s="1205">
        <f>+I16*(1+'FORM 1040-13'!$D$56)</f>
        <v>0</v>
      </c>
      <c r="K16" s="1205">
        <f>+J16*(1+'FORM 1040-13'!$D$56)</f>
        <v>0</v>
      </c>
      <c r="L16" s="1203">
        <f>+K16*(1+'FORM 1040-13'!$D$56)</f>
        <v>0</v>
      </c>
      <c r="M16" s="397"/>
      <c r="N16" s="397"/>
      <c r="O16" s="397"/>
      <c r="P16" s="397"/>
      <c r="Q16" s="6"/>
      <c r="R16" s="39">
        <v>16</v>
      </c>
      <c r="S16" s="39" t="b">
        <f>IF('FORM 1040-14a'!$F$24&lt;0,TRUE,FALSE)</f>
        <v>0</v>
      </c>
      <c r="T16" s="1529">
        <f>+F26</f>
        <v>0</v>
      </c>
      <c r="U16" s="1529"/>
      <c r="V16" s="6"/>
      <c r="W16" s="397"/>
      <c r="X16" s="400"/>
      <c r="Y16" s="403"/>
      <c r="DC16" s="401"/>
      <c r="DD16" s="401"/>
      <c r="DE16" s="401"/>
      <c r="DF16" s="401"/>
      <c r="DG16" s="401"/>
      <c r="DH16" s="401"/>
      <c r="DI16" s="401"/>
      <c r="DJ16" s="401"/>
      <c r="DK16" s="401"/>
      <c r="DL16" s="401"/>
    </row>
    <row r="17" spans="1:116" s="404" customFormat="1" ht="9.9499999999999993" customHeight="1" thickTop="1" thickBot="1">
      <c r="A17" s="2043"/>
      <c r="B17" s="2043"/>
      <c r="C17" s="2043"/>
      <c r="D17" s="2043"/>
      <c r="E17" s="1211"/>
      <c r="F17" s="1211"/>
      <c r="G17" s="1211"/>
      <c r="H17" s="1211"/>
      <c r="I17" s="1211"/>
      <c r="J17" s="1211"/>
      <c r="K17" s="1211"/>
      <c r="L17" s="1211"/>
      <c r="M17" s="406"/>
      <c r="N17" s="406"/>
      <c r="O17" s="406"/>
      <c r="P17" s="406"/>
      <c r="Q17" s="6"/>
      <c r="R17" s="39">
        <v>17</v>
      </c>
      <c r="S17" s="39" t="b">
        <f>IF('FORM 1040-14a'!$G$24&lt;0,TRUE,FALSE)</f>
        <v>0</v>
      </c>
      <c r="T17" s="1529">
        <f>+G26</f>
        <v>0</v>
      </c>
      <c r="U17" s="1529"/>
      <c r="V17" s="6"/>
      <c r="W17" s="406"/>
      <c r="X17" s="400"/>
      <c r="Y17" s="403"/>
      <c r="DC17" s="401"/>
      <c r="DD17" s="401"/>
      <c r="DE17" s="401"/>
      <c r="DF17" s="401"/>
      <c r="DG17" s="401"/>
      <c r="DH17" s="401"/>
      <c r="DI17" s="401"/>
      <c r="DJ17" s="401"/>
      <c r="DK17" s="401"/>
      <c r="DL17" s="401"/>
    </row>
    <row r="18" spans="1:116" s="404" customFormat="1" ht="27" customHeight="1" thickTop="1" thickBot="1">
      <c r="A18" s="2053" t="s">
        <v>250</v>
      </c>
      <c r="B18" s="2054"/>
      <c r="C18" s="2054"/>
      <c r="D18" s="2084"/>
      <c r="E18" s="1205">
        <f>+E12+E14-E16</f>
        <v>0</v>
      </c>
      <c r="F18" s="1205">
        <f t="shared" ref="F18:L18" si="1">+F12+F14-F16</f>
        <v>0</v>
      </c>
      <c r="G18" s="1205">
        <f t="shared" si="1"/>
        <v>0</v>
      </c>
      <c r="H18" s="1205">
        <f t="shared" si="1"/>
        <v>0</v>
      </c>
      <c r="I18" s="1205">
        <f t="shared" si="1"/>
        <v>0</v>
      </c>
      <c r="J18" s="1205">
        <f t="shared" si="1"/>
        <v>0</v>
      </c>
      <c r="K18" s="1205">
        <f t="shared" si="1"/>
        <v>0</v>
      </c>
      <c r="L18" s="1205">
        <f t="shared" si="1"/>
        <v>0</v>
      </c>
      <c r="M18" s="407"/>
      <c r="N18" s="407"/>
      <c r="O18" s="407"/>
      <c r="P18" s="407"/>
      <c r="Q18" s="6"/>
      <c r="R18" s="39">
        <v>18</v>
      </c>
      <c r="S18" s="39" t="b">
        <f>IF('FORM 1040-14a'!$H$24&lt;0,TRUE,FALSE)</f>
        <v>0</v>
      </c>
      <c r="T18" s="1529">
        <f>+H26</f>
        <v>0</v>
      </c>
      <c r="U18" s="1529"/>
      <c r="V18" s="6"/>
      <c r="W18" s="407"/>
      <c r="X18" s="400"/>
      <c r="Y18" s="403"/>
      <c r="DC18" s="401"/>
      <c r="DD18" s="401"/>
      <c r="DE18" s="401"/>
      <c r="DF18" s="401"/>
      <c r="DG18" s="401"/>
      <c r="DH18" s="401"/>
      <c r="DI18" s="401"/>
      <c r="DJ18" s="401"/>
      <c r="DK18" s="401"/>
      <c r="DL18" s="401"/>
    </row>
    <row r="19" spans="1:116" s="404" customFormat="1" ht="15" customHeight="1" thickTop="1" thickBot="1">
      <c r="A19" s="2059" t="s">
        <v>85</v>
      </c>
      <c r="B19" s="2060"/>
      <c r="C19" s="2060"/>
      <c r="D19" s="2092"/>
      <c r="E19" s="1205">
        <f>+'FORM 1040-14'!J50</f>
        <v>0</v>
      </c>
      <c r="F19" s="1209"/>
      <c r="G19" s="1209"/>
      <c r="H19" s="1209"/>
      <c r="I19" s="1209"/>
      <c r="J19" s="1209"/>
      <c r="K19" s="1209"/>
      <c r="L19" s="1209"/>
      <c r="M19" s="407"/>
      <c r="N19" s="407"/>
      <c r="O19" s="407"/>
      <c r="P19" s="407"/>
      <c r="Q19" s="6"/>
      <c r="R19" s="39">
        <v>19</v>
      </c>
      <c r="S19" s="39" t="b">
        <f>IF('FORM 1040-14a'!$I$24&lt;0,TRUE,FALSE)</f>
        <v>0</v>
      </c>
      <c r="T19" s="1529">
        <f>+I26</f>
        <v>0</v>
      </c>
      <c r="U19" s="1529"/>
      <c r="V19" s="6"/>
      <c r="W19" s="407"/>
      <c r="X19" s="400"/>
      <c r="Y19" s="403"/>
      <c r="DC19" s="401"/>
      <c r="DD19" s="401"/>
      <c r="DE19" s="401"/>
      <c r="DF19" s="401"/>
      <c r="DG19" s="401"/>
      <c r="DH19" s="401"/>
      <c r="DI19" s="401"/>
      <c r="DJ19" s="401"/>
      <c r="DK19" s="401"/>
      <c r="DL19" s="401"/>
    </row>
    <row r="20" spans="1:116" s="410" customFormat="1" ht="15" customHeight="1" thickTop="1" thickBot="1">
      <c r="A20" s="2053" t="s">
        <v>2174</v>
      </c>
      <c r="B20" s="2054"/>
      <c r="C20" s="2054"/>
      <c r="D20" s="2084"/>
      <c r="E20" s="1205">
        <f>+'FORM 1040-14'!J51</f>
        <v>0</v>
      </c>
      <c r="F20" s="1209"/>
      <c r="G20" s="1209"/>
      <c r="H20" s="1209"/>
      <c r="I20" s="1209"/>
      <c r="J20" s="1209"/>
      <c r="K20" s="1209"/>
      <c r="L20" s="1209"/>
      <c r="M20" s="407"/>
      <c r="N20" s="407"/>
      <c r="O20" s="407"/>
      <c r="P20" s="407"/>
      <c r="Q20" s="6"/>
      <c r="R20" s="39">
        <v>20</v>
      </c>
      <c r="S20" s="39" t="b">
        <f>IF('FORM 1040-14a'!$J$24&lt;0,TRUE,FALSE)</f>
        <v>0</v>
      </c>
      <c r="T20" s="1529">
        <f>+J26</f>
        <v>0</v>
      </c>
      <c r="U20" s="1529">
        <f>AVERAGE(T1:T20)</f>
        <v>0</v>
      </c>
      <c r="V20" s="6"/>
      <c r="W20" s="407"/>
      <c r="X20" s="408"/>
      <c r="Y20" s="403"/>
      <c r="Z20" s="404"/>
      <c r="AA20" s="404"/>
      <c r="AB20" s="404"/>
      <c r="AC20" s="404"/>
      <c r="AD20" s="404"/>
      <c r="AE20" s="404"/>
      <c r="AF20" s="404"/>
      <c r="AG20" s="404"/>
      <c r="AH20" s="404"/>
      <c r="AI20" s="404"/>
      <c r="AJ20" s="404"/>
      <c r="AK20" s="404"/>
      <c r="AL20" s="404"/>
      <c r="AM20" s="404"/>
      <c r="AN20" s="404"/>
      <c r="AO20" s="404"/>
      <c r="AP20" s="404"/>
      <c r="AQ20" s="404"/>
      <c r="AR20" s="404"/>
      <c r="AS20" s="404"/>
      <c r="AT20" s="404"/>
      <c r="AU20" s="404"/>
      <c r="AV20" s="404"/>
      <c r="AW20" s="404"/>
      <c r="AX20" s="404"/>
      <c r="AY20" s="404"/>
      <c r="AZ20" s="404"/>
      <c r="BA20" s="404"/>
      <c r="BB20" s="404"/>
      <c r="BC20" s="404"/>
      <c r="BD20" s="404"/>
      <c r="BE20" s="404"/>
      <c r="BF20" s="404"/>
      <c r="BG20" s="404"/>
      <c r="BH20" s="404"/>
      <c r="BI20" s="404"/>
      <c r="BJ20" s="404"/>
      <c r="BK20" s="404"/>
      <c r="BL20" s="404"/>
      <c r="BM20" s="404"/>
      <c r="BN20" s="404"/>
      <c r="BO20" s="404"/>
      <c r="BP20" s="404"/>
      <c r="BQ20" s="404"/>
      <c r="BR20" s="404"/>
      <c r="BS20" s="404"/>
      <c r="BT20" s="404"/>
      <c r="BU20" s="404"/>
      <c r="BV20" s="404"/>
      <c r="BW20" s="404"/>
      <c r="BX20" s="404"/>
      <c r="BY20" s="404"/>
      <c r="BZ20" s="404"/>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4"/>
      <c r="CY20" s="404"/>
      <c r="CZ20" s="404"/>
      <c r="DA20" s="404"/>
      <c r="DB20" s="404"/>
      <c r="DC20" s="409"/>
      <c r="DD20" s="409"/>
      <c r="DE20" s="409"/>
      <c r="DF20" s="409"/>
      <c r="DG20" s="409"/>
      <c r="DH20" s="409"/>
      <c r="DI20" s="409"/>
      <c r="DJ20" s="409"/>
      <c r="DK20" s="409"/>
      <c r="DL20" s="409"/>
    </row>
    <row r="21" spans="1:116" s="410" customFormat="1" ht="15" customHeight="1" thickTop="1" thickBot="1">
      <c r="A21" s="2053" t="s">
        <v>2500</v>
      </c>
      <c r="B21" s="2054"/>
      <c r="C21" s="2054"/>
      <c r="D21" s="2084"/>
      <c r="E21" s="1205">
        <f>+'FORM 1040-14'!J52</f>
        <v>0</v>
      </c>
      <c r="F21" s="1205">
        <f>IF('FORM 1040-13'!$L$10&gt;0,'FORM 1040-13'!$AH246,0)</f>
        <v>0</v>
      </c>
      <c r="G21" s="1205">
        <f>IF('FORM 1040-13'!$L$10&gt;0,'FORM 1040-13'!$AH258,0)</f>
        <v>0</v>
      </c>
      <c r="H21" s="1205">
        <f>IF('FORM 1040-13'!$L$10&gt;0,'FORM 1040-13'!$AH270,0)</f>
        <v>0</v>
      </c>
      <c r="I21" s="1205">
        <f>IF('FORM 1040-13'!$L$10&gt;0,'FORM 1040-13'!$AH282,0)</f>
        <v>0</v>
      </c>
      <c r="J21" s="1205">
        <f>IF('FORM 1040-13'!$L$10&gt;0,'FORM 1040-13'!$AH294,0)</f>
        <v>0</v>
      </c>
      <c r="K21" s="1205">
        <f>IF('FORM 1040-13'!$L$10&gt;0,'FORM 1040-13'!$AH306,0)</f>
        <v>0</v>
      </c>
      <c r="L21" s="1205">
        <f>IF('FORM 1040-13'!$L$10&gt;0,'FORM 1040-13'!$AH318,0)</f>
        <v>0</v>
      </c>
      <c r="M21" s="407"/>
      <c r="N21" s="407"/>
      <c r="O21" s="407"/>
      <c r="P21" s="407"/>
      <c r="Q21" s="6"/>
      <c r="R21" s="39">
        <v>21</v>
      </c>
      <c r="S21" s="39" t="b">
        <f>IF('FORM 1040-14a'!$K$24&lt;0,TRUE,FALSE)</f>
        <v>0</v>
      </c>
      <c r="T21" s="1529">
        <f>+K26</f>
        <v>0</v>
      </c>
      <c r="U21" s="1529"/>
      <c r="V21" s="6"/>
      <c r="W21" s="407"/>
      <c r="X21" s="408"/>
      <c r="Y21" s="403"/>
      <c r="Z21" s="404"/>
      <c r="AA21" s="404"/>
      <c r="AB21" s="404"/>
      <c r="AC21" s="404"/>
      <c r="AD21" s="404"/>
      <c r="AE21" s="404"/>
      <c r="AF21" s="404"/>
      <c r="AG21" s="404"/>
      <c r="AH21" s="404"/>
      <c r="AI21" s="404"/>
      <c r="AJ21" s="404"/>
      <c r="AK21" s="404"/>
      <c r="AL21" s="404"/>
      <c r="AM21" s="404"/>
      <c r="AN21" s="404"/>
      <c r="AO21" s="404"/>
      <c r="AP21" s="404"/>
      <c r="AQ21" s="404"/>
      <c r="AR21" s="404"/>
      <c r="AS21" s="404"/>
      <c r="AT21" s="404"/>
      <c r="AU21" s="404"/>
      <c r="AV21" s="404"/>
      <c r="AW21" s="404"/>
      <c r="AX21" s="404"/>
      <c r="AY21" s="404"/>
      <c r="AZ21" s="404"/>
      <c r="BA21" s="404"/>
      <c r="BB21" s="404"/>
      <c r="BC21" s="404"/>
      <c r="BD21" s="404"/>
      <c r="BE21" s="404"/>
      <c r="BF21" s="404"/>
      <c r="BG21" s="404"/>
      <c r="BH21" s="404"/>
      <c r="BI21" s="404"/>
      <c r="BJ21" s="404"/>
      <c r="BK21" s="404"/>
      <c r="BL21" s="404"/>
      <c r="BM21" s="404"/>
      <c r="BN21" s="404"/>
      <c r="BO21" s="404"/>
      <c r="BP21" s="404"/>
      <c r="BQ21" s="404"/>
      <c r="BR21" s="404"/>
      <c r="BS21" s="404"/>
      <c r="BT21" s="404"/>
      <c r="BU21" s="404"/>
      <c r="BV21" s="404"/>
      <c r="BW21" s="404"/>
      <c r="BX21" s="404"/>
      <c r="BY21" s="404"/>
      <c r="BZ21" s="404"/>
      <c r="CA21" s="404"/>
      <c r="CB21" s="404"/>
      <c r="CC21" s="404"/>
      <c r="CD21" s="404"/>
      <c r="CE21" s="404"/>
      <c r="CF21" s="404"/>
      <c r="CG21" s="404"/>
      <c r="CH21" s="404"/>
      <c r="CI21" s="404"/>
      <c r="CJ21" s="404"/>
      <c r="CK21" s="404"/>
      <c r="CL21" s="404"/>
      <c r="CM21" s="404"/>
      <c r="CN21" s="404"/>
      <c r="CO21" s="404"/>
      <c r="CP21" s="404"/>
      <c r="CQ21" s="404"/>
      <c r="CR21" s="404"/>
      <c r="CS21" s="404"/>
      <c r="CT21" s="404"/>
      <c r="CU21" s="404"/>
      <c r="CV21" s="404"/>
      <c r="CW21" s="404"/>
      <c r="CX21" s="404"/>
      <c r="CY21" s="404"/>
      <c r="CZ21" s="404"/>
      <c r="DA21" s="404"/>
      <c r="DB21" s="404"/>
      <c r="DC21" s="409"/>
      <c r="DD21" s="409"/>
      <c r="DE21" s="409"/>
      <c r="DF21" s="409"/>
      <c r="DG21" s="409"/>
      <c r="DH21" s="409"/>
      <c r="DI21" s="409"/>
      <c r="DJ21" s="409"/>
      <c r="DK21" s="409"/>
      <c r="DL21" s="409"/>
    </row>
    <row r="22" spans="1:116" s="410" customFormat="1" ht="15" customHeight="1" thickTop="1" thickBot="1">
      <c r="A22" s="2053" t="s">
        <v>2501</v>
      </c>
      <c r="B22" s="2054"/>
      <c r="C22" s="2054"/>
      <c r="D22" s="2084"/>
      <c r="E22" s="1205">
        <f>+'FORM 1040-14'!J53</f>
        <v>0</v>
      </c>
      <c r="F22" s="1209"/>
      <c r="G22" s="1209"/>
      <c r="H22" s="1209"/>
      <c r="I22" s="1209"/>
      <c r="J22" s="1209"/>
      <c r="K22" s="1209"/>
      <c r="L22" s="1209"/>
      <c r="M22" s="407"/>
      <c r="N22" s="407"/>
      <c r="O22" s="407"/>
      <c r="P22" s="407"/>
      <c r="Q22" s="6"/>
      <c r="R22" s="39">
        <v>22</v>
      </c>
      <c r="S22" s="39" t="b">
        <f>IF('FORM 1040-14a'!$L$24&lt;0,TRUE,FALSE)</f>
        <v>0</v>
      </c>
      <c r="T22" s="1529">
        <f>+L26</f>
        <v>0</v>
      </c>
      <c r="U22" s="1529"/>
      <c r="V22" s="6"/>
      <c r="W22" s="407"/>
      <c r="X22" s="408"/>
      <c r="Y22" s="403"/>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4"/>
      <c r="AY22" s="404"/>
      <c r="AZ22" s="404"/>
      <c r="BA22" s="404"/>
      <c r="BB22" s="404"/>
      <c r="BC22" s="404"/>
      <c r="BD22" s="404"/>
      <c r="BE22" s="404"/>
      <c r="BF22" s="404"/>
      <c r="BG22" s="404"/>
      <c r="BH22" s="404"/>
      <c r="BI22" s="404"/>
      <c r="BJ22" s="404"/>
      <c r="BK22" s="404"/>
      <c r="BL22" s="404"/>
      <c r="BM22" s="404"/>
      <c r="BN22" s="404"/>
      <c r="BO22" s="404"/>
      <c r="BP22" s="404"/>
      <c r="BQ22" s="404"/>
      <c r="BR22" s="404"/>
      <c r="BS22" s="404"/>
      <c r="BT22" s="404"/>
      <c r="BU22" s="404"/>
      <c r="BV22" s="404"/>
      <c r="BW22" s="404"/>
      <c r="BX22" s="404"/>
      <c r="BY22" s="404"/>
      <c r="BZ22" s="404"/>
      <c r="CA22" s="404"/>
      <c r="CB22" s="404"/>
      <c r="CC22" s="404"/>
      <c r="CD22" s="404"/>
      <c r="CE22" s="404"/>
      <c r="CF22" s="404"/>
      <c r="CG22" s="404"/>
      <c r="CH22" s="404"/>
      <c r="CI22" s="404"/>
      <c r="CJ22" s="404"/>
      <c r="CK22" s="404"/>
      <c r="CL22" s="404"/>
      <c r="CM22" s="404"/>
      <c r="CN22" s="404"/>
      <c r="CO22" s="404"/>
      <c r="CP22" s="404"/>
      <c r="CQ22" s="404"/>
      <c r="CR22" s="404"/>
      <c r="CS22" s="404"/>
      <c r="CT22" s="404"/>
      <c r="CU22" s="404"/>
      <c r="CV22" s="404"/>
      <c r="CW22" s="404"/>
      <c r="CX22" s="404"/>
      <c r="CY22" s="404"/>
      <c r="CZ22" s="404"/>
      <c r="DA22" s="404"/>
      <c r="DB22" s="404"/>
      <c r="DC22" s="409"/>
      <c r="DD22" s="409"/>
      <c r="DE22" s="409"/>
      <c r="DF22" s="409"/>
      <c r="DG22" s="409"/>
      <c r="DH22" s="409"/>
      <c r="DI22" s="409"/>
      <c r="DJ22" s="409"/>
      <c r="DK22" s="409"/>
      <c r="DL22" s="409"/>
    </row>
    <row r="23" spans="1:116" s="410" customFormat="1" ht="15" customHeight="1" thickTop="1" thickBot="1">
      <c r="A23" s="2053" t="s">
        <v>2092</v>
      </c>
      <c r="B23" s="2054"/>
      <c r="C23" s="2054"/>
      <c r="D23" s="2084"/>
      <c r="E23" s="1205">
        <f>+'FORM 1040-14'!J54</f>
        <v>0</v>
      </c>
      <c r="F23" s="1209"/>
      <c r="G23" s="1209"/>
      <c r="H23" s="1209"/>
      <c r="I23" s="1209"/>
      <c r="J23" s="1209"/>
      <c r="K23" s="1209"/>
      <c r="L23" s="1209"/>
      <c r="M23" s="407"/>
      <c r="N23" s="407"/>
      <c r="O23" s="407"/>
      <c r="P23" s="407"/>
      <c r="Q23" s="6"/>
      <c r="R23" s="39">
        <v>23</v>
      </c>
      <c r="S23" s="39" t="b">
        <f>IF('FORM 1040-14a'!$E$50&lt;0,TRUE,FALSE)</f>
        <v>0</v>
      </c>
      <c r="T23" s="1529">
        <f>+E52</f>
        <v>0</v>
      </c>
      <c r="U23" s="1529"/>
      <c r="V23" s="6"/>
      <c r="W23" s="407"/>
      <c r="X23" s="408"/>
      <c r="Y23" s="403"/>
      <c r="Z23" s="404"/>
      <c r="AA23" s="404"/>
      <c r="AB23" s="404"/>
      <c r="AC23" s="404"/>
      <c r="AD23" s="404"/>
      <c r="AE23" s="404"/>
      <c r="AF23" s="404"/>
      <c r="AG23" s="404"/>
      <c r="AH23" s="404"/>
      <c r="AI23" s="404"/>
      <c r="AJ23" s="404"/>
      <c r="AK23" s="404"/>
      <c r="AL23" s="404"/>
      <c r="AM23" s="404"/>
      <c r="AN23" s="404"/>
      <c r="AO23" s="404"/>
      <c r="AP23" s="404"/>
      <c r="AQ23" s="404"/>
      <c r="AR23" s="404"/>
      <c r="AS23" s="404"/>
      <c r="AT23" s="404"/>
      <c r="AU23" s="404"/>
      <c r="AV23" s="404"/>
      <c r="AW23" s="404"/>
      <c r="AX23" s="404"/>
      <c r="AY23" s="404"/>
      <c r="AZ23" s="404"/>
      <c r="BA23" s="404"/>
      <c r="BB23" s="404"/>
      <c r="BC23" s="404"/>
      <c r="BD23" s="404"/>
      <c r="BE23" s="404"/>
      <c r="BF23" s="404"/>
      <c r="BG23" s="404"/>
      <c r="BH23" s="404"/>
      <c r="BI23" s="404"/>
      <c r="BJ23" s="404"/>
      <c r="BK23" s="404"/>
      <c r="BL23" s="404"/>
      <c r="BM23" s="404"/>
      <c r="BN23" s="404"/>
      <c r="BO23" s="404"/>
      <c r="BP23" s="404"/>
      <c r="BQ23" s="404"/>
      <c r="BR23" s="404"/>
      <c r="BS23" s="404"/>
      <c r="BT23" s="404"/>
      <c r="BU23" s="404"/>
      <c r="BV23" s="404"/>
      <c r="BW23" s="404"/>
      <c r="BX23" s="404"/>
      <c r="BY23" s="404"/>
      <c r="BZ23" s="404"/>
      <c r="CA23" s="404"/>
      <c r="CB23" s="404"/>
      <c r="CC23" s="404"/>
      <c r="CD23" s="404"/>
      <c r="CE23" s="404"/>
      <c r="CF23" s="404"/>
      <c r="CG23" s="404"/>
      <c r="CH23" s="404"/>
      <c r="CI23" s="404"/>
      <c r="CJ23" s="404"/>
      <c r="CK23" s="404"/>
      <c r="CL23" s="404"/>
      <c r="CM23" s="404"/>
      <c r="CN23" s="404"/>
      <c r="CO23" s="404"/>
      <c r="CP23" s="404"/>
      <c r="CQ23" s="404"/>
      <c r="CR23" s="404"/>
      <c r="CS23" s="404"/>
      <c r="CT23" s="404"/>
      <c r="CU23" s="404"/>
      <c r="CV23" s="404"/>
      <c r="CW23" s="404"/>
      <c r="CX23" s="404"/>
      <c r="CY23" s="404"/>
      <c r="CZ23" s="404"/>
      <c r="DA23" s="404"/>
      <c r="DB23" s="404"/>
      <c r="DC23" s="409"/>
      <c r="DD23" s="409"/>
      <c r="DE23" s="409"/>
      <c r="DF23" s="409"/>
      <c r="DG23" s="409"/>
      <c r="DH23" s="409"/>
      <c r="DI23" s="409"/>
      <c r="DJ23" s="409"/>
      <c r="DK23" s="409"/>
      <c r="DL23" s="409"/>
    </row>
    <row r="24" spans="1:116" s="410" customFormat="1" ht="15" customHeight="1" thickTop="1" thickBot="1">
      <c r="A24" s="2048" t="s">
        <v>1990</v>
      </c>
      <c r="B24" s="2049"/>
      <c r="C24" s="2049"/>
      <c r="D24" s="2084"/>
      <c r="E24" s="1203">
        <f>+E18-E19-E20-E21-E22-E23</f>
        <v>0</v>
      </c>
      <c r="F24" s="1203">
        <f t="shared" ref="F24:L24" si="2">+F18-F19-F20-F21-F22-F23</f>
        <v>0</v>
      </c>
      <c r="G24" s="1203">
        <f t="shared" si="2"/>
        <v>0</v>
      </c>
      <c r="H24" s="1203">
        <f t="shared" si="2"/>
        <v>0</v>
      </c>
      <c r="I24" s="1203">
        <f t="shared" si="2"/>
        <v>0</v>
      </c>
      <c r="J24" s="1203">
        <f t="shared" si="2"/>
        <v>0</v>
      </c>
      <c r="K24" s="1203">
        <f t="shared" si="2"/>
        <v>0</v>
      </c>
      <c r="L24" s="1203">
        <f t="shared" si="2"/>
        <v>0</v>
      </c>
      <c r="M24" s="407"/>
      <c r="N24" s="407"/>
      <c r="O24" s="407"/>
      <c r="P24" s="407"/>
      <c r="Q24" s="6"/>
      <c r="R24" s="39">
        <v>24</v>
      </c>
      <c r="S24" s="39" t="b">
        <f>IF('FORM 1040-14a'!$F$50&lt;0,TRUE,FALSE)</f>
        <v>0</v>
      </c>
      <c r="T24" s="1529">
        <f>+F52</f>
        <v>0</v>
      </c>
      <c r="U24" s="1529"/>
      <c r="V24" s="6"/>
      <c r="W24" s="407"/>
      <c r="X24" s="408"/>
      <c r="Y24" s="403"/>
      <c r="Z24" s="404"/>
      <c r="AA24" s="404"/>
      <c r="AB24" s="404"/>
      <c r="AC24" s="404"/>
      <c r="AD24" s="404"/>
      <c r="AE24" s="404"/>
      <c r="AF24" s="404"/>
      <c r="AG24" s="404"/>
      <c r="AH24" s="404"/>
      <c r="AI24" s="404"/>
      <c r="AJ24" s="404"/>
      <c r="AK24" s="404"/>
      <c r="AL24" s="404"/>
      <c r="AM24" s="404"/>
      <c r="AN24" s="404"/>
      <c r="AO24" s="404"/>
      <c r="AP24" s="404"/>
      <c r="AQ24" s="404"/>
      <c r="AR24" s="404"/>
      <c r="AS24" s="404"/>
      <c r="AT24" s="404"/>
      <c r="AU24" s="404"/>
      <c r="AV24" s="404"/>
      <c r="AW24" s="404"/>
      <c r="AX24" s="404"/>
      <c r="AY24" s="404"/>
      <c r="AZ24" s="404"/>
      <c r="BA24" s="404"/>
      <c r="BB24" s="404"/>
      <c r="BC24" s="404"/>
      <c r="BD24" s="404"/>
      <c r="BE24" s="404"/>
      <c r="BF24" s="404"/>
      <c r="BG24" s="404"/>
      <c r="BH24" s="404"/>
      <c r="BI24" s="404"/>
      <c r="BJ24" s="404"/>
      <c r="BK24" s="404"/>
      <c r="BL24" s="404"/>
      <c r="BM24" s="404"/>
      <c r="BN24" s="404"/>
      <c r="BO24" s="404"/>
      <c r="BP24" s="404"/>
      <c r="BQ24" s="404"/>
      <c r="BR24" s="404"/>
      <c r="BS24" s="404"/>
      <c r="BT24" s="404"/>
      <c r="BU24" s="404"/>
      <c r="BV24" s="404"/>
      <c r="BW24" s="404"/>
      <c r="BX24" s="404"/>
      <c r="BY24" s="404"/>
      <c r="BZ24" s="404"/>
      <c r="CA24" s="404"/>
      <c r="CB24" s="404"/>
      <c r="CC24" s="404"/>
      <c r="CD24" s="404"/>
      <c r="CE24" s="404"/>
      <c r="CF24" s="404"/>
      <c r="CG24" s="404"/>
      <c r="CH24" s="404"/>
      <c r="CI24" s="404"/>
      <c r="CJ24" s="404"/>
      <c r="CK24" s="404"/>
      <c r="CL24" s="404"/>
      <c r="CM24" s="404"/>
      <c r="CN24" s="404"/>
      <c r="CO24" s="404"/>
      <c r="CP24" s="404"/>
      <c r="CQ24" s="404"/>
      <c r="CR24" s="404"/>
      <c r="CS24" s="404"/>
      <c r="CT24" s="404"/>
      <c r="CU24" s="404"/>
      <c r="CV24" s="404"/>
      <c r="CW24" s="404"/>
      <c r="CX24" s="404"/>
      <c r="CY24" s="404"/>
      <c r="CZ24" s="404"/>
      <c r="DA24" s="404"/>
      <c r="DB24" s="404"/>
      <c r="DC24" s="409"/>
      <c r="DD24" s="409"/>
      <c r="DE24" s="409"/>
      <c r="DF24" s="409"/>
      <c r="DG24" s="409"/>
      <c r="DH24" s="409"/>
      <c r="DI24" s="409"/>
      <c r="DJ24" s="409"/>
      <c r="DK24" s="409"/>
      <c r="DL24" s="409"/>
    </row>
    <row r="25" spans="1:116" ht="9.9499999999999993" customHeight="1" thickTop="1" thickBot="1">
      <c r="A25" s="2046"/>
      <c r="B25" s="2046"/>
      <c r="C25" s="2046"/>
      <c r="D25" s="2046"/>
      <c r="E25" s="405"/>
      <c r="F25" s="405"/>
      <c r="G25" s="405"/>
      <c r="H25" s="405"/>
      <c r="I25" s="405"/>
      <c r="J25" s="405"/>
      <c r="K25" s="405"/>
      <c r="L25" s="405"/>
      <c r="M25" s="406"/>
      <c r="N25" s="406"/>
      <c r="O25" s="406"/>
      <c r="P25" s="406"/>
      <c r="R25" s="39">
        <v>25</v>
      </c>
      <c r="S25" s="39" t="b">
        <f>IF('FORM 1040-14a'!$G$50&lt;0,TRUE,FALSE)</f>
        <v>0</v>
      </c>
      <c r="T25" s="1529">
        <f>+G52</f>
        <v>0</v>
      </c>
      <c r="U25" s="1529"/>
      <c r="W25" s="406"/>
      <c r="X25" s="398"/>
      <c r="Y25" s="108"/>
      <c r="DC25" s="399"/>
      <c r="DD25" s="399"/>
      <c r="DE25" s="399"/>
      <c r="DF25" s="399"/>
      <c r="DG25" s="399"/>
      <c r="DH25" s="399"/>
      <c r="DI25" s="399"/>
      <c r="DJ25" s="399"/>
      <c r="DK25" s="399"/>
      <c r="DL25" s="399"/>
    </row>
    <row r="26" spans="1:116" s="404" customFormat="1" ht="15" customHeight="1" thickTop="1" thickBot="1">
      <c r="A26" s="2048" t="s">
        <v>2733</v>
      </c>
      <c r="B26" s="2049"/>
      <c r="C26" s="2049"/>
      <c r="D26" s="2049"/>
      <c r="E26" s="411">
        <f t="shared" ref="E26:L26" si="3">IF(ISERROR(1+E24/E23),0,1+E24/E23)</f>
        <v>0</v>
      </c>
      <c r="F26" s="411">
        <f t="shared" si="3"/>
        <v>0</v>
      </c>
      <c r="G26" s="411">
        <f t="shared" si="3"/>
        <v>0</v>
      </c>
      <c r="H26" s="411">
        <f t="shared" si="3"/>
        <v>0</v>
      </c>
      <c r="I26" s="411">
        <f t="shared" si="3"/>
        <v>0</v>
      </c>
      <c r="J26" s="411">
        <f t="shared" si="3"/>
        <v>0</v>
      </c>
      <c r="K26" s="411">
        <f t="shared" si="3"/>
        <v>0</v>
      </c>
      <c r="L26" s="411">
        <f t="shared" si="3"/>
        <v>0</v>
      </c>
      <c r="M26" s="412"/>
      <c r="N26" s="412"/>
      <c r="O26" s="412"/>
      <c r="P26" s="412"/>
      <c r="Q26" s="6"/>
      <c r="R26" s="39">
        <v>26</v>
      </c>
      <c r="S26" s="39" t="b">
        <f>IF('FORM 1040-14a'!$H$50&lt;0,TRUE,FALSE)</f>
        <v>0</v>
      </c>
      <c r="T26" s="1529">
        <f>+H52</f>
        <v>0</v>
      </c>
      <c r="U26" s="1529"/>
      <c r="V26" s="6"/>
      <c r="W26" s="412"/>
      <c r="X26" s="400"/>
      <c r="Y26" s="403"/>
      <c r="DC26" s="401"/>
      <c r="DD26" s="401"/>
      <c r="DE26" s="401"/>
      <c r="DF26" s="401"/>
      <c r="DG26" s="401"/>
      <c r="DH26" s="401"/>
      <c r="DI26" s="401"/>
      <c r="DJ26" s="401"/>
      <c r="DK26" s="401"/>
      <c r="DL26" s="401"/>
    </row>
    <row r="27" spans="1:116" s="404" customFormat="1" ht="15" customHeight="1" thickTop="1" thickBot="1">
      <c r="A27" s="2048" t="s">
        <v>2735</v>
      </c>
      <c r="B27" s="2049"/>
      <c r="C27" s="2049"/>
      <c r="D27" s="2084"/>
      <c r="E27" s="893">
        <f>IF(ISERROR(+E24/'FORM 1040-2'!$C$42),0,+E24/'FORM 1040-2'!$C$42)</f>
        <v>0</v>
      </c>
      <c r="F27" s="893">
        <f>IF(ISERROR(+F24/'FORM 1040-2'!$C$42),0,+F24/'FORM 1040-2'!$C$42)</f>
        <v>0</v>
      </c>
      <c r="G27" s="893">
        <f>IF(ISERROR(+G24/'FORM 1040-2'!$C$42),0,+G24/'FORM 1040-2'!$C$42)</f>
        <v>0</v>
      </c>
      <c r="H27" s="893">
        <f>IF(ISERROR(+H24/'FORM 1040-2'!$C$42),0,+H24/'FORM 1040-2'!$C$42)</f>
        <v>0</v>
      </c>
      <c r="I27" s="893">
        <f>IF(ISERROR(+I24/'FORM 1040-2'!$C$42),0,+I24/'FORM 1040-2'!$C$42)</f>
        <v>0</v>
      </c>
      <c r="J27" s="893">
        <f>IF(ISERROR(+J24/'FORM 1040-2'!$C$42),0,+J24/'FORM 1040-2'!$C$42)</f>
        <v>0</v>
      </c>
      <c r="K27" s="893">
        <f>IF(ISERROR(+K24/'FORM 1040-2'!$C$42),0,+K24/'FORM 1040-2'!$C$42)</f>
        <v>0</v>
      </c>
      <c r="L27" s="1260">
        <f>IF(ISERROR(+L24/'FORM 1040-2'!$C$42),0,+L24/'FORM 1040-2'!$C$42)</f>
        <v>0</v>
      </c>
      <c r="M27" s="412"/>
      <c r="N27" s="412"/>
      <c r="O27" s="412"/>
      <c r="P27" s="412"/>
      <c r="Q27" s="6"/>
      <c r="R27" s="39">
        <v>27</v>
      </c>
      <c r="S27" s="39" t="b">
        <f>IF('FORM 1040-14a'!$I$50&lt;0,TRUE,FALSE)</f>
        <v>0</v>
      </c>
      <c r="T27" s="1529">
        <f>+I52</f>
        <v>0</v>
      </c>
      <c r="U27" s="1529"/>
      <c r="V27" s="6"/>
      <c r="W27" s="412"/>
      <c r="X27" s="400"/>
      <c r="Y27" s="403"/>
      <c r="DC27" s="401"/>
      <c r="DD27" s="401"/>
      <c r="DE27" s="401"/>
      <c r="DF27" s="401"/>
      <c r="DG27" s="401"/>
      <c r="DH27" s="401"/>
      <c r="DI27" s="401"/>
      <c r="DJ27" s="401"/>
      <c r="DK27" s="401"/>
      <c r="DL27" s="401"/>
    </row>
    <row r="28" spans="1:116" ht="9.9499999999999993" customHeight="1" thickTop="1" thickBot="1">
      <c r="A28" s="413"/>
      <c r="B28" s="413"/>
      <c r="C28" s="413"/>
      <c r="D28" s="413"/>
      <c r="E28" s="414"/>
      <c r="F28" s="414"/>
      <c r="G28" s="414"/>
      <c r="H28" s="414"/>
      <c r="I28" s="414"/>
      <c r="J28" s="414"/>
      <c r="K28" s="414"/>
      <c r="L28" s="414"/>
      <c r="M28" s="108"/>
      <c r="N28" s="108"/>
      <c r="O28" s="108"/>
      <c r="P28" s="108"/>
      <c r="R28" s="39">
        <v>28</v>
      </c>
      <c r="S28" s="39" t="b">
        <f>IF('FORM 1040-14a'!$J$50&lt;0,TRUE,FALSE)</f>
        <v>0</v>
      </c>
      <c r="T28" s="1529">
        <f>+J52</f>
        <v>0</v>
      </c>
      <c r="U28" s="1529"/>
      <c r="W28" s="108"/>
      <c r="X28" s="108"/>
      <c r="Y28" s="108"/>
    </row>
    <row r="29" spans="1:116" s="410" customFormat="1" ht="15" customHeight="1" thickTop="1" thickBot="1">
      <c r="A29" s="2048" t="s">
        <v>2734</v>
      </c>
      <c r="B29" s="2049"/>
      <c r="C29" s="2049"/>
      <c r="D29" s="2084"/>
      <c r="E29" s="1205">
        <f>+'FORM 1040-14'!J64</f>
        <v>0</v>
      </c>
      <c r="F29" s="1205">
        <f>+F24+E29</f>
        <v>0</v>
      </c>
      <c r="G29" s="1205">
        <f t="shared" ref="G29:L29" si="4">+G24+F29</f>
        <v>0</v>
      </c>
      <c r="H29" s="1205">
        <f t="shared" si="4"/>
        <v>0</v>
      </c>
      <c r="I29" s="1205">
        <f t="shared" si="4"/>
        <v>0</v>
      </c>
      <c r="J29" s="1205">
        <f t="shared" si="4"/>
        <v>0</v>
      </c>
      <c r="K29" s="1205">
        <f t="shared" si="4"/>
        <v>0</v>
      </c>
      <c r="L29" s="1205">
        <f t="shared" si="4"/>
        <v>0</v>
      </c>
      <c r="M29" s="407"/>
      <c r="N29" s="407"/>
      <c r="O29" s="407"/>
      <c r="P29" s="407"/>
      <c r="Q29" s="6"/>
      <c r="R29" s="39">
        <v>29</v>
      </c>
      <c r="S29" s="39" t="b">
        <f>IF('FORM 1040-14a'!$K$50&lt;0,TRUE,FALSE)</f>
        <v>0</v>
      </c>
      <c r="T29" s="1529">
        <f>+K52</f>
        <v>0</v>
      </c>
      <c r="U29" s="1529"/>
      <c r="V29" s="6"/>
      <c r="W29" s="407"/>
      <c r="X29" s="408"/>
      <c r="Y29" s="403"/>
      <c r="Z29" s="404"/>
      <c r="AA29" s="404"/>
      <c r="AB29" s="404"/>
      <c r="AC29" s="404"/>
      <c r="AD29" s="404"/>
      <c r="AE29" s="404"/>
      <c r="AF29" s="404"/>
      <c r="AG29" s="404"/>
      <c r="AH29" s="404"/>
      <c r="AI29" s="404"/>
      <c r="AJ29" s="404"/>
      <c r="AK29" s="404"/>
      <c r="AL29" s="404"/>
      <c r="AM29" s="404"/>
      <c r="AN29" s="404"/>
      <c r="AO29" s="404"/>
      <c r="AP29" s="404"/>
      <c r="AQ29" s="404"/>
      <c r="AR29" s="404"/>
      <c r="AS29" s="404"/>
      <c r="AT29" s="404"/>
      <c r="AU29" s="404"/>
      <c r="AV29" s="404"/>
      <c r="AW29" s="404"/>
      <c r="AX29" s="404"/>
      <c r="AY29" s="404"/>
      <c r="AZ29" s="404"/>
      <c r="BA29" s="404"/>
      <c r="BB29" s="404"/>
      <c r="BC29" s="404"/>
      <c r="BD29" s="404"/>
      <c r="BE29" s="404"/>
      <c r="BF29" s="404"/>
      <c r="BG29" s="404"/>
      <c r="BH29" s="404"/>
      <c r="BI29" s="404"/>
      <c r="BJ29" s="404"/>
      <c r="BK29" s="404"/>
      <c r="BL29" s="404"/>
      <c r="BM29" s="404"/>
      <c r="BN29" s="404"/>
      <c r="BO29" s="404"/>
      <c r="BP29" s="404"/>
      <c r="BQ29" s="404"/>
      <c r="BR29" s="404"/>
      <c r="BS29" s="404"/>
      <c r="BT29" s="404"/>
      <c r="BU29" s="404"/>
      <c r="BV29" s="404"/>
      <c r="BW29" s="404"/>
      <c r="BX29" s="404"/>
      <c r="BY29" s="404"/>
      <c r="BZ29" s="404"/>
      <c r="CA29" s="404"/>
      <c r="CB29" s="404"/>
      <c r="CC29" s="404"/>
      <c r="CD29" s="404"/>
      <c r="CE29" s="404"/>
      <c r="CF29" s="404"/>
      <c r="CG29" s="404"/>
      <c r="CH29" s="404"/>
      <c r="CI29" s="404"/>
      <c r="CJ29" s="404"/>
      <c r="CK29" s="404"/>
      <c r="CL29" s="404"/>
      <c r="CM29" s="404"/>
      <c r="CN29" s="404"/>
      <c r="CO29" s="404"/>
      <c r="CP29" s="404"/>
      <c r="CQ29" s="404"/>
      <c r="CR29" s="404"/>
      <c r="CS29" s="404"/>
      <c r="CT29" s="404"/>
      <c r="CU29" s="404"/>
      <c r="CV29" s="404"/>
      <c r="CW29" s="404"/>
      <c r="CX29" s="404"/>
      <c r="CY29" s="404"/>
      <c r="CZ29" s="404"/>
      <c r="DA29" s="404"/>
      <c r="DB29" s="404"/>
      <c r="DC29" s="409"/>
      <c r="DD29" s="409"/>
      <c r="DE29" s="409"/>
      <c r="DF29" s="409"/>
      <c r="DG29" s="409"/>
      <c r="DH29" s="409"/>
      <c r="DI29" s="409"/>
      <c r="DJ29" s="409"/>
      <c r="DK29" s="409"/>
      <c r="DL29" s="409"/>
    </row>
    <row r="30" spans="1:116" s="1512" customFormat="1" ht="9.9499999999999993" customHeight="1" thickTop="1">
      <c r="A30" s="413"/>
      <c r="B30" s="413"/>
      <c r="C30" s="413"/>
      <c r="D30" s="413"/>
      <c r="E30" s="414"/>
      <c r="F30" s="414"/>
      <c r="G30" s="414"/>
      <c r="H30" s="414"/>
      <c r="I30" s="414"/>
      <c r="J30" s="414"/>
      <c r="K30" s="414"/>
      <c r="L30" s="414"/>
      <c r="M30" s="108"/>
      <c r="N30" s="108"/>
      <c r="O30" s="108"/>
      <c r="P30" s="108"/>
      <c r="Q30" s="6"/>
      <c r="R30" s="39">
        <v>30</v>
      </c>
      <c r="S30" s="39" t="b">
        <f>IF('FORM 1040-14a'!$L$50&lt;0,TRUE,FALSE)</f>
        <v>0</v>
      </c>
      <c r="T30" s="1529">
        <f>+L52</f>
        <v>0</v>
      </c>
      <c r="U30" s="1529">
        <f>AVERAGE(T1:T30)</f>
        <v>0</v>
      </c>
      <c r="V30" s="6"/>
      <c r="W30" s="108"/>
      <c r="X30" s="108"/>
      <c r="Y30" s="108"/>
    </row>
    <row r="31" spans="1:116" ht="6" customHeight="1">
      <c r="A31" s="421"/>
      <c r="B31" s="421"/>
      <c r="C31" s="421"/>
      <c r="D31" s="421"/>
      <c r="E31" s="421"/>
      <c r="F31" s="421"/>
      <c r="G31" s="421"/>
      <c r="H31" s="421"/>
      <c r="I31" s="421"/>
      <c r="J31" s="421"/>
      <c r="K31" s="421"/>
      <c r="L31" s="421"/>
      <c r="M31" s="108"/>
      <c r="N31" s="108"/>
      <c r="O31" s="108"/>
      <c r="P31" s="108"/>
      <c r="T31" s="39"/>
      <c r="U31" s="39"/>
      <c r="W31" s="108"/>
      <c r="X31" s="108"/>
      <c r="Y31" s="108"/>
    </row>
    <row r="32" spans="1:116" ht="9.9499999999999993" customHeight="1" thickBot="1">
      <c r="A32" s="108"/>
      <c r="B32" s="108"/>
      <c r="C32" s="108"/>
      <c r="D32" s="108"/>
      <c r="E32" s="108"/>
      <c r="F32" s="108"/>
      <c r="G32" s="108"/>
      <c r="H32" s="108"/>
      <c r="I32" s="108"/>
      <c r="J32" s="108"/>
      <c r="K32" s="108"/>
      <c r="L32" s="108"/>
      <c r="M32" s="108"/>
      <c r="N32" s="108"/>
      <c r="O32" s="108"/>
      <c r="P32" s="108"/>
      <c r="W32" s="108"/>
      <c r="X32" s="108"/>
      <c r="Y32" s="108"/>
    </row>
    <row r="33" spans="1:108" ht="15" customHeight="1" thickTop="1" thickBot="1">
      <c r="A33" s="884"/>
      <c r="B33" s="998"/>
      <c r="C33" s="998"/>
      <c r="D33" s="884"/>
      <c r="E33" s="2062" t="s">
        <v>68</v>
      </c>
      <c r="F33" s="2078"/>
      <c r="G33" s="2078"/>
      <c r="H33" s="2078"/>
      <c r="I33" s="2078"/>
      <c r="J33" s="2078"/>
      <c r="K33" s="2078"/>
      <c r="L33" s="2079"/>
      <c r="M33" s="108"/>
      <c r="N33" s="108"/>
    </row>
    <row r="34" spans="1:108" ht="15" customHeight="1" thickTop="1" thickBot="1">
      <c r="A34" s="1780" t="s">
        <v>98</v>
      </c>
      <c r="B34" s="1843"/>
      <c r="C34" s="1843"/>
      <c r="D34" s="1843"/>
      <c r="E34" s="396" t="s">
        <v>1978</v>
      </c>
      <c r="F34" s="396" t="s">
        <v>1979</v>
      </c>
      <c r="G34" s="396" t="s">
        <v>1980</v>
      </c>
      <c r="H34" s="396" t="s">
        <v>1981</v>
      </c>
      <c r="I34" s="396" t="s">
        <v>1982</v>
      </c>
      <c r="J34" s="396" t="s">
        <v>1983</v>
      </c>
      <c r="K34" s="396" t="s">
        <v>1984</v>
      </c>
      <c r="L34" s="396" t="s">
        <v>1985</v>
      </c>
      <c r="M34" s="108"/>
      <c r="N34" s="108"/>
    </row>
    <row r="35" spans="1:108" s="399" customFormat="1" ht="15" customHeight="1" thickTop="1" thickBot="1">
      <c r="A35" s="2077" t="s">
        <v>787</v>
      </c>
      <c r="B35" s="2077"/>
      <c r="C35" s="2077"/>
      <c r="D35" s="2077"/>
      <c r="E35" s="1205">
        <f>+L9*(1+'FORM 1040-13'!$D$48)</f>
        <v>0</v>
      </c>
      <c r="F35" s="1205">
        <f>+E35*(1+'FORM 1040-13'!$D$48)</f>
        <v>0</v>
      </c>
      <c r="G35" s="1205">
        <f>+F35*(1+'FORM 1040-13'!$D$48)</f>
        <v>0</v>
      </c>
      <c r="H35" s="1205">
        <f>+G35*(1+'FORM 1040-13'!$D$48)</f>
        <v>0</v>
      </c>
      <c r="I35" s="1205">
        <f>+H35*(1+'FORM 1040-13'!$D$48)</f>
        <v>0</v>
      </c>
      <c r="J35" s="1205">
        <f>+I35*(1+'FORM 1040-13'!$D$48)</f>
        <v>0</v>
      </c>
      <c r="K35" s="1205">
        <f>+J35*(1+'FORM 1040-13'!$D$48)</f>
        <v>0</v>
      </c>
      <c r="L35" s="1205">
        <f>+K35*(1+'FORM 1040-13'!$D$48)</f>
        <v>0</v>
      </c>
      <c r="M35" s="108"/>
      <c r="N35" s="108"/>
      <c r="O35" s="39"/>
      <c r="P35" s="1512"/>
      <c r="Q35" s="6"/>
      <c r="U35" s="401"/>
      <c r="V35" s="6"/>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row>
    <row r="36" spans="1:108" s="401" customFormat="1" ht="15" customHeight="1" thickTop="1" thickBot="1">
      <c r="A36" s="2077" t="s">
        <v>788</v>
      </c>
      <c r="B36" s="2077"/>
      <c r="C36" s="2077"/>
      <c r="D36" s="2077"/>
      <c r="E36" s="1205">
        <f>+L10*(1+'FORM 1040-13'!$D$50)</f>
        <v>0</v>
      </c>
      <c r="F36" s="1205">
        <f>+E36*(1+'FORM 1040-13'!$D$50)</f>
        <v>0</v>
      </c>
      <c r="G36" s="1205">
        <f>+F36*(1+'FORM 1040-13'!$D$50)</f>
        <v>0</v>
      </c>
      <c r="H36" s="1205">
        <f>+G36*(1+'FORM 1040-13'!$D$50)</f>
        <v>0</v>
      </c>
      <c r="I36" s="1205">
        <f>+H36*(1+'FORM 1040-13'!$D$50)</f>
        <v>0</v>
      </c>
      <c r="J36" s="1205">
        <f>+I36*(1+'FORM 1040-13'!$D$50)</f>
        <v>0</v>
      </c>
      <c r="K36" s="1205">
        <f>+J36*(1+'FORM 1040-13'!$D$50)</f>
        <v>0</v>
      </c>
      <c r="L36" s="1205">
        <f>+K36*(1+'FORM 1040-13'!$D$50)</f>
        <v>0</v>
      </c>
      <c r="M36" s="108"/>
      <c r="N36" s="108"/>
      <c r="O36" s="39"/>
      <c r="P36" s="1512"/>
      <c r="Q36" s="6"/>
      <c r="V36" s="6"/>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row>
    <row r="37" spans="1:108" s="401" customFormat="1" ht="15" customHeight="1" thickTop="1" thickBot="1">
      <c r="A37" s="2077" t="s">
        <v>84</v>
      </c>
      <c r="B37" s="2077"/>
      <c r="C37" s="2077"/>
      <c r="D37" s="2077"/>
      <c r="E37" s="1205">
        <f>+L11*(1+'FORM 1040-13'!$D$52)</f>
        <v>0</v>
      </c>
      <c r="F37" s="1205">
        <f>+E37*(1+'FORM 1040-13'!$D$52)</f>
        <v>0</v>
      </c>
      <c r="G37" s="1205">
        <f>+F37*(1+'FORM 1040-13'!$D$52)</f>
        <v>0</v>
      </c>
      <c r="H37" s="1205">
        <f>+G37*(1+'FORM 1040-13'!$D$52)</f>
        <v>0</v>
      </c>
      <c r="I37" s="1205">
        <f>+H37*(1+'FORM 1040-13'!$D$52)</f>
        <v>0</v>
      </c>
      <c r="J37" s="1205">
        <f>+I37*(1+'FORM 1040-13'!$D$52)</f>
        <v>0</v>
      </c>
      <c r="K37" s="1205">
        <f>+J37*(1+'FORM 1040-13'!$D$52)</f>
        <v>0</v>
      </c>
      <c r="L37" s="1205">
        <f>+K37*(1+'FORM 1040-13'!$D$52)</f>
        <v>0</v>
      </c>
      <c r="M37" s="108"/>
      <c r="N37" s="108"/>
      <c r="O37" s="39"/>
      <c r="P37" s="1512"/>
      <c r="Q37" s="6"/>
      <c r="V37" s="6"/>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row>
    <row r="38" spans="1:108" ht="15" customHeight="1" thickTop="1" thickBot="1">
      <c r="A38" s="2091" t="s">
        <v>730</v>
      </c>
      <c r="B38" s="2091"/>
      <c r="C38" s="2091"/>
      <c r="D38" s="2091"/>
      <c r="E38" s="1203">
        <f>SUM(E35:E37)</f>
        <v>0</v>
      </c>
      <c r="F38" s="1203">
        <f>SUM(F35:F37)</f>
        <v>0</v>
      </c>
      <c r="G38" s="1203">
        <f t="shared" ref="G38:L38" si="5">SUM(G35:G37)</f>
        <v>0</v>
      </c>
      <c r="H38" s="1203">
        <f t="shared" si="5"/>
        <v>0</v>
      </c>
      <c r="I38" s="1203">
        <f t="shared" si="5"/>
        <v>0</v>
      </c>
      <c r="J38" s="1203">
        <f t="shared" si="5"/>
        <v>0</v>
      </c>
      <c r="K38" s="1203">
        <f t="shared" si="5"/>
        <v>0</v>
      </c>
      <c r="L38" s="1203">
        <f t="shared" si="5"/>
        <v>0</v>
      </c>
      <c r="M38" s="108"/>
      <c r="N38" s="108"/>
    </row>
    <row r="39" spans="1:108" ht="9.9499999999999993" customHeight="1" thickTop="1" thickBot="1">
      <c r="A39" s="2044"/>
      <c r="B39" s="2044"/>
      <c r="C39" s="2044"/>
      <c r="D39" s="2044"/>
      <c r="E39" s="1210"/>
      <c r="F39" s="1210"/>
      <c r="G39" s="1210"/>
      <c r="H39" s="1210"/>
      <c r="I39" s="1210"/>
      <c r="J39" s="1210"/>
      <c r="K39" s="1210"/>
      <c r="L39" s="1210"/>
      <c r="M39" s="108"/>
      <c r="N39" s="108"/>
    </row>
    <row r="40" spans="1:108" s="401" customFormat="1" ht="15" customHeight="1" thickTop="1" thickBot="1">
      <c r="A40" s="2077" t="s">
        <v>731</v>
      </c>
      <c r="B40" s="2077"/>
      <c r="C40" s="2077"/>
      <c r="D40" s="2077"/>
      <c r="E40" s="1205">
        <f>+L14*(1+'FORM 1040-13'!$D$54)</f>
        <v>0</v>
      </c>
      <c r="F40" s="1205">
        <f>+E40*(1+'FORM 1040-13'!$D$54)</f>
        <v>0</v>
      </c>
      <c r="G40" s="1205">
        <f>+F40*(1+'FORM 1040-13'!$D$54)</f>
        <v>0</v>
      </c>
      <c r="H40" s="1205">
        <f>+G40*(1+'FORM 1040-13'!$D$54)</f>
        <v>0</v>
      </c>
      <c r="I40" s="1205">
        <f>+H40*(1+'FORM 1040-13'!$D$54)</f>
        <v>0</v>
      </c>
      <c r="J40" s="1205">
        <f>+I40*(1+'FORM 1040-13'!$D$54)</f>
        <v>0</v>
      </c>
      <c r="K40" s="1205">
        <f>+J40*(1+'FORM 1040-13'!$D$54)</f>
        <v>0</v>
      </c>
      <c r="L40" s="1205">
        <f>+K40*(1+'FORM 1040-13'!$D$54)</f>
        <v>0</v>
      </c>
      <c r="M40" s="108"/>
      <c r="N40" s="108"/>
      <c r="O40" s="39"/>
      <c r="P40" s="1512"/>
      <c r="Q40" s="6"/>
      <c r="R40" s="39"/>
      <c r="S40" s="39"/>
      <c r="T40" s="1512"/>
      <c r="U40" s="404"/>
      <c r="V40" s="6"/>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row>
    <row r="41" spans="1:108" ht="9.9499999999999993" customHeight="1" thickTop="1" thickBot="1">
      <c r="A41" s="2044"/>
      <c r="B41" s="2044"/>
      <c r="C41" s="2044"/>
      <c r="D41" s="2044"/>
      <c r="E41" s="1210"/>
      <c r="F41" s="1210"/>
      <c r="G41" s="1210"/>
      <c r="H41" s="1210"/>
      <c r="I41" s="1210"/>
      <c r="J41" s="1210"/>
      <c r="K41" s="1210"/>
      <c r="L41" s="1210"/>
      <c r="M41" s="108"/>
      <c r="N41" s="108"/>
      <c r="R41" s="404"/>
      <c r="S41" s="404"/>
      <c r="T41" s="404"/>
    </row>
    <row r="42" spans="1:108" s="404" customFormat="1" ht="15" customHeight="1" thickTop="1" thickBot="1">
      <c r="A42" s="2080" t="s">
        <v>2382</v>
      </c>
      <c r="B42" s="2080"/>
      <c r="C42" s="2080"/>
      <c r="D42" s="2080"/>
      <c r="E42" s="1205">
        <f>+L16*(1+'FORM 1040-13'!$D$56)</f>
        <v>0</v>
      </c>
      <c r="F42" s="1205">
        <f>+E42*(1+'FORM 1040-13'!$D$56)</f>
        <v>0</v>
      </c>
      <c r="G42" s="1205">
        <f>+F42*(1+'FORM 1040-13'!$D$56)</f>
        <v>0</v>
      </c>
      <c r="H42" s="1205">
        <f>+G42*(1+'FORM 1040-13'!$D$56)</f>
        <v>0</v>
      </c>
      <c r="I42" s="1205">
        <f>+H42*(1+'FORM 1040-13'!$D$56)</f>
        <v>0</v>
      </c>
      <c r="J42" s="1205">
        <f>+I42*(1+'FORM 1040-13'!$D$56)</f>
        <v>0</v>
      </c>
      <c r="K42" s="1205">
        <f>+J42*(1+'FORM 1040-13'!$D$56)</f>
        <v>0</v>
      </c>
      <c r="L42" s="1205">
        <f>+K42*(1+'FORM 1040-13'!$D$56)</f>
        <v>0</v>
      </c>
      <c r="M42" s="403"/>
      <c r="N42" s="403"/>
      <c r="Q42" s="6"/>
      <c r="V42" s="6"/>
      <c r="CU42" s="401"/>
      <c r="CV42" s="401"/>
      <c r="CW42" s="401"/>
      <c r="CX42" s="401"/>
      <c r="CY42" s="401"/>
      <c r="CZ42" s="401"/>
      <c r="DA42" s="401"/>
      <c r="DB42" s="401"/>
      <c r="DC42" s="401"/>
      <c r="DD42" s="401"/>
    </row>
    <row r="43" spans="1:108" s="404" customFormat="1" ht="9.9499999999999993" customHeight="1" thickTop="1" thickBot="1">
      <c r="A43" s="2043"/>
      <c r="B43" s="2043"/>
      <c r="C43" s="2043"/>
      <c r="D43" s="2043"/>
      <c r="E43" s="1211"/>
      <c r="F43" s="1211"/>
      <c r="G43" s="1211"/>
      <c r="H43" s="1211"/>
      <c r="I43" s="1211"/>
      <c r="J43" s="1211"/>
      <c r="K43" s="1211"/>
      <c r="L43" s="1211"/>
      <c r="M43" s="403"/>
      <c r="N43" s="403"/>
      <c r="Q43" s="6"/>
      <c r="V43" s="6"/>
      <c r="CU43" s="401"/>
      <c r="CV43" s="401"/>
      <c r="CW43" s="401"/>
      <c r="CX43" s="401"/>
      <c r="CY43" s="401"/>
      <c r="CZ43" s="401"/>
      <c r="DA43" s="401"/>
      <c r="DB43" s="401"/>
      <c r="DC43" s="401"/>
      <c r="DD43" s="401"/>
    </row>
    <row r="44" spans="1:108" s="404" customFormat="1" ht="27" customHeight="1" thickTop="1" thickBot="1">
      <c r="A44" s="2053" t="s">
        <v>250</v>
      </c>
      <c r="B44" s="2054"/>
      <c r="C44" s="2054"/>
      <c r="D44" s="2084"/>
      <c r="E44" s="1205">
        <f>+E38+E40-E42</f>
        <v>0</v>
      </c>
      <c r="F44" s="1205">
        <f>+F38+F40-F42</f>
        <v>0</v>
      </c>
      <c r="G44" s="1205">
        <f t="shared" ref="G44:L44" si="6">+G38+G40-G42</f>
        <v>0</v>
      </c>
      <c r="H44" s="1205">
        <f t="shared" si="6"/>
        <v>0</v>
      </c>
      <c r="I44" s="1205">
        <f t="shared" si="6"/>
        <v>0</v>
      </c>
      <c r="J44" s="1205">
        <f t="shared" si="6"/>
        <v>0</v>
      </c>
      <c r="K44" s="1205">
        <f t="shared" si="6"/>
        <v>0</v>
      </c>
      <c r="L44" s="1205">
        <f t="shared" si="6"/>
        <v>0</v>
      </c>
      <c r="M44" s="403"/>
      <c r="N44" s="403"/>
      <c r="Q44" s="6"/>
      <c r="V44" s="6"/>
      <c r="CU44" s="401"/>
      <c r="CV44" s="401"/>
      <c r="CW44" s="401"/>
      <c r="CX44" s="401"/>
      <c r="CY44" s="401"/>
      <c r="CZ44" s="401"/>
      <c r="DA44" s="401"/>
      <c r="DB44" s="401"/>
      <c r="DC44" s="401"/>
      <c r="DD44" s="401"/>
    </row>
    <row r="45" spans="1:108" s="404" customFormat="1" ht="15" customHeight="1" thickTop="1" thickBot="1">
      <c r="A45" s="2059" t="s">
        <v>85</v>
      </c>
      <c r="B45" s="2060"/>
      <c r="C45" s="2060"/>
      <c r="D45" s="2061"/>
      <c r="E45" s="1209"/>
      <c r="F45" s="1209"/>
      <c r="G45" s="1209"/>
      <c r="H45" s="1209"/>
      <c r="I45" s="1209"/>
      <c r="J45" s="1209"/>
      <c r="K45" s="1209"/>
      <c r="L45" s="1209"/>
      <c r="M45" s="403"/>
      <c r="Q45" s="6"/>
      <c r="V45" s="6"/>
      <c r="CU45" s="401"/>
      <c r="CV45" s="401"/>
      <c r="CW45" s="401"/>
      <c r="CX45" s="401"/>
      <c r="CY45" s="401"/>
      <c r="CZ45" s="401"/>
      <c r="DA45" s="401"/>
      <c r="DB45" s="401"/>
      <c r="DC45" s="401"/>
      <c r="DD45" s="401"/>
    </row>
    <row r="46" spans="1:108" s="410" customFormat="1" ht="15" customHeight="1" thickTop="1" thickBot="1">
      <c r="A46" s="2053" t="s">
        <v>2174</v>
      </c>
      <c r="B46" s="2054"/>
      <c r="C46" s="2054"/>
      <c r="D46" s="2084"/>
      <c r="E46" s="1209"/>
      <c r="F46" s="1209"/>
      <c r="G46" s="1209"/>
      <c r="H46" s="1209"/>
      <c r="I46" s="1209"/>
      <c r="J46" s="1209"/>
      <c r="K46" s="1209"/>
      <c r="L46" s="1209"/>
      <c r="M46" s="403"/>
      <c r="Q46" s="6"/>
      <c r="R46" s="404"/>
      <c r="S46" s="404"/>
      <c r="T46" s="404"/>
      <c r="U46" s="404"/>
      <c r="V46" s="6"/>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9"/>
      <c r="CV46" s="409"/>
      <c r="CW46" s="409"/>
      <c r="CX46" s="409"/>
      <c r="CY46" s="409"/>
      <c r="CZ46" s="409"/>
      <c r="DA46" s="409"/>
      <c r="DB46" s="409"/>
      <c r="DC46" s="409"/>
      <c r="DD46" s="409"/>
    </row>
    <row r="47" spans="1:108" s="410" customFormat="1" ht="15" customHeight="1" thickTop="1" thickBot="1">
      <c r="A47" s="2053" t="s">
        <v>2500</v>
      </c>
      <c r="B47" s="2054"/>
      <c r="C47" s="2054"/>
      <c r="D47" s="2084"/>
      <c r="E47" s="1205">
        <f>IF('FORM 1040-13'!$L$10&gt;0,'FORM 1040-13'!$AH330,0)</f>
        <v>0</v>
      </c>
      <c r="F47" s="1205">
        <f>IF('FORM 1040-13'!$L$10&gt;0,'FORM 1040-13'!$AH342,0)</f>
        <v>0</v>
      </c>
      <c r="G47" s="1205">
        <f>IF('FORM 1040-13'!$L$10&gt;0,'FORM 1040-13'!$AH354,0)</f>
        <v>0</v>
      </c>
      <c r="H47" s="1205">
        <f>IF('FORM 1040-13'!$L$10&gt;0,'FORM 1040-13'!$AH366,0)</f>
        <v>0</v>
      </c>
      <c r="I47" s="1205">
        <f>IF('FORM 1040-13'!$L$10&gt;0,'FORM 1040-13'!$AH378,0)</f>
        <v>0</v>
      </c>
      <c r="J47" s="1205">
        <f>IF('FORM 1040-13'!$L$10&gt;0,'FORM 1040-13'!$AH390,0)</f>
        <v>0</v>
      </c>
      <c r="K47" s="1205">
        <f>IF('FORM 1040-13'!$L$10&gt;0,'FORM 1040-13'!$AH402,0)</f>
        <v>0</v>
      </c>
      <c r="L47" s="1205">
        <f>IF('FORM 1040-13'!$L$10&gt;0,'FORM 1040-13'!$AH414,0)</f>
        <v>0</v>
      </c>
      <c r="M47" s="403"/>
      <c r="N47" s="2085" t="s">
        <v>2732</v>
      </c>
      <c r="O47" s="2086"/>
      <c r="Q47" s="6"/>
      <c r="R47" s="404"/>
      <c r="S47" s="404"/>
      <c r="T47" s="404"/>
      <c r="U47" s="404"/>
      <c r="V47" s="6"/>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9"/>
      <c r="CV47" s="409"/>
      <c r="CW47" s="409"/>
      <c r="CX47" s="409"/>
      <c r="CY47" s="409"/>
      <c r="CZ47" s="409"/>
      <c r="DA47" s="409"/>
      <c r="DB47" s="409"/>
      <c r="DC47" s="409"/>
      <c r="DD47" s="409"/>
    </row>
    <row r="48" spans="1:108" s="410" customFormat="1" ht="15" customHeight="1" thickTop="1" thickBot="1">
      <c r="A48" s="2053" t="s">
        <v>2501</v>
      </c>
      <c r="B48" s="2054"/>
      <c r="C48" s="2054"/>
      <c r="D48" s="2084"/>
      <c r="E48" s="1209"/>
      <c r="F48" s="1209"/>
      <c r="G48" s="1209"/>
      <c r="H48" s="1209"/>
      <c r="I48" s="1209"/>
      <c r="J48" s="1209"/>
      <c r="K48" s="1209"/>
      <c r="L48" s="1209"/>
      <c r="M48" s="403"/>
      <c r="N48" s="1536">
        <v>15</v>
      </c>
      <c r="O48" s="1537">
        <f>+U15</f>
        <v>0</v>
      </c>
      <c r="P48" s="1509"/>
      <c r="Q48" s="6"/>
      <c r="R48" s="404"/>
      <c r="S48" s="404"/>
      <c r="T48" s="404"/>
      <c r="U48" s="404"/>
      <c r="V48" s="6"/>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9"/>
      <c r="CV48" s="409"/>
      <c r="CW48" s="409"/>
      <c r="CX48" s="409"/>
      <c r="CY48" s="409"/>
      <c r="CZ48" s="409"/>
      <c r="DA48" s="409"/>
      <c r="DB48" s="409"/>
      <c r="DC48" s="409"/>
      <c r="DD48" s="409"/>
    </row>
    <row r="49" spans="1:108" s="410" customFormat="1" ht="15" customHeight="1" thickTop="1" thickBot="1">
      <c r="A49" s="2053" t="s">
        <v>2092</v>
      </c>
      <c r="B49" s="2054"/>
      <c r="C49" s="2054"/>
      <c r="D49" s="2084"/>
      <c r="E49" s="1209"/>
      <c r="F49" s="1209"/>
      <c r="G49" s="1209"/>
      <c r="H49" s="1209"/>
      <c r="I49" s="1209"/>
      <c r="J49" s="1209"/>
      <c r="K49" s="1209"/>
      <c r="L49" s="1209"/>
      <c r="M49" s="403"/>
      <c r="N49" s="1532">
        <v>20</v>
      </c>
      <c r="O49" s="1533">
        <f>+U20</f>
        <v>0</v>
      </c>
      <c r="P49" s="1531"/>
      <c r="Q49" s="6"/>
      <c r="R49" s="404"/>
      <c r="S49" s="404"/>
      <c r="T49" s="404"/>
      <c r="U49" s="404"/>
      <c r="V49" s="6"/>
      <c r="W49" s="404"/>
      <c r="X49" s="404"/>
      <c r="Y49" s="404"/>
      <c r="Z49" s="404"/>
      <c r="AA49" s="404"/>
      <c r="AB49" s="404"/>
      <c r="AC49" s="404"/>
      <c r="AD49" s="404"/>
      <c r="AE49" s="404"/>
      <c r="AF49" s="404"/>
      <c r="AG49" s="404"/>
      <c r="AH49" s="404"/>
      <c r="AI49" s="404"/>
      <c r="AJ49" s="404"/>
      <c r="AK49" s="404"/>
      <c r="AL49" s="404"/>
      <c r="AM49" s="404"/>
      <c r="AN49" s="404"/>
      <c r="AO49" s="404"/>
      <c r="AP49" s="404"/>
      <c r="AQ49" s="404"/>
      <c r="AR49" s="404"/>
      <c r="AS49" s="404"/>
      <c r="AT49" s="404"/>
      <c r="AU49" s="404"/>
      <c r="AV49" s="404"/>
      <c r="AW49" s="404"/>
      <c r="AX49" s="404"/>
      <c r="AY49" s="404"/>
      <c r="AZ49" s="404"/>
      <c r="BA49" s="404"/>
      <c r="BB49" s="404"/>
      <c r="BC49" s="404"/>
      <c r="BD49" s="404"/>
      <c r="BE49" s="404"/>
      <c r="BF49" s="404"/>
      <c r="BG49" s="404"/>
      <c r="BH49" s="404"/>
      <c r="BI49" s="404"/>
      <c r="BJ49" s="404"/>
      <c r="BK49" s="404"/>
      <c r="BL49" s="404"/>
      <c r="BM49" s="404"/>
      <c r="BN49" s="404"/>
      <c r="BO49" s="404"/>
      <c r="BP49" s="404"/>
      <c r="BQ49" s="404"/>
      <c r="BR49" s="404"/>
      <c r="BS49" s="404"/>
      <c r="BT49" s="404"/>
      <c r="BU49" s="404"/>
      <c r="BV49" s="404"/>
      <c r="BW49" s="404"/>
      <c r="BX49" s="404"/>
      <c r="BY49" s="404"/>
      <c r="BZ49" s="404"/>
      <c r="CA49" s="404"/>
      <c r="CB49" s="404"/>
      <c r="CC49" s="404"/>
      <c r="CD49" s="404"/>
      <c r="CE49" s="404"/>
      <c r="CF49" s="404"/>
      <c r="CG49" s="404"/>
      <c r="CH49" s="404"/>
      <c r="CI49" s="404"/>
      <c r="CJ49" s="404"/>
      <c r="CK49" s="404"/>
      <c r="CL49" s="404"/>
      <c r="CM49" s="404"/>
      <c r="CN49" s="404"/>
      <c r="CO49" s="404"/>
      <c r="CP49" s="404"/>
      <c r="CQ49" s="404"/>
      <c r="CR49" s="404"/>
      <c r="CS49" s="404"/>
      <c r="CT49" s="404"/>
      <c r="CU49" s="409"/>
      <c r="CV49" s="409"/>
      <c r="CW49" s="409"/>
      <c r="CX49" s="409"/>
      <c r="CY49" s="409"/>
      <c r="CZ49" s="409"/>
      <c r="DA49" s="409"/>
      <c r="DB49" s="409"/>
      <c r="DC49" s="409"/>
      <c r="DD49" s="409"/>
    </row>
    <row r="50" spans="1:108" s="410" customFormat="1" ht="15" customHeight="1" thickTop="1" thickBot="1">
      <c r="A50" s="2048" t="s">
        <v>1990</v>
      </c>
      <c r="B50" s="2049"/>
      <c r="C50" s="2049"/>
      <c r="D50" s="2084"/>
      <c r="E50" s="1203">
        <f>+E44-E45-E46-E47-E48-E49</f>
        <v>0</v>
      </c>
      <c r="F50" s="1203">
        <f t="shared" ref="F50:L50" si="7">+F44-F45-F46-F47-F48-F49</f>
        <v>0</v>
      </c>
      <c r="G50" s="1203">
        <f t="shared" si="7"/>
        <v>0</v>
      </c>
      <c r="H50" s="1203">
        <f t="shared" si="7"/>
        <v>0</v>
      </c>
      <c r="I50" s="1203">
        <f t="shared" si="7"/>
        <v>0</v>
      </c>
      <c r="J50" s="1203">
        <f t="shared" si="7"/>
        <v>0</v>
      </c>
      <c r="K50" s="1203">
        <f t="shared" si="7"/>
        <v>0</v>
      </c>
      <c r="L50" s="1203">
        <f t="shared" si="7"/>
        <v>0</v>
      </c>
      <c r="M50" s="403"/>
      <c r="N50" s="1534">
        <v>30</v>
      </c>
      <c r="O50" s="1535">
        <f>+U30</f>
        <v>0</v>
      </c>
      <c r="P50" s="1531"/>
      <c r="Q50" s="6"/>
      <c r="R50" s="404"/>
      <c r="S50" s="404"/>
      <c r="T50" s="404"/>
      <c r="U50" s="404"/>
      <c r="V50" s="6"/>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9"/>
      <c r="CV50" s="409"/>
      <c r="CW50" s="409"/>
      <c r="CX50" s="409"/>
      <c r="CY50" s="409"/>
      <c r="CZ50" s="409"/>
      <c r="DA50" s="409"/>
      <c r="DB50" s="409"/>
      <c r="DC50" s="409"/>
      <c r="DD50" s="409"/>
    </row>
    <row r="51" spans="1:108" ht="9.9499999999999993" customHeight="1" thickTop="1" thickBot="1">
      <c r="A51" s="2046"/>
      <c r="B51" s="2046"/>
      <c r="C51" s="2046"/>
      <c r="D51" s="2046"/>
      <c r="E51" s="405"/>
      <c r="F51" s="405"/>
      <c r="G51" s="405"/>
      <c r="H51" s="405"/>
      <c r="I51" s="405"/>
      <c r="J51" s="405"/>
      <c r="K51" s="405"/>
      <c r="L51" s="405"/>
      <c r="M51" s="108"/>
      <c r="N51" s="39"/>
      <c r="R51" s="404"/>
      <c r="S51" s="404"/>
      <c r="T51" s="404"/>
      <c r="CU51" s="399"/>
      <c r="CV51" s="399"/>
      <c r="CW51" s="399"/>
      <c r="CX51" s="399"/>
      <c r="CY51" s="399"/>
      <c r="CZ51" s="399"/>
      <c r="DA51" s="399"/>
      <c r="DB51" s="399"/>
      <c r="DC51" s="399"/>
      <c r="DD51" s="399"/>
    </row>
    <row r="52" spans="1:108" s="404" customFormat="1" ht="15" customHeight="1" thickTop="1" thickBot="1">
      <c r="A52" s="2048" t="s">
        <v>2733</v>
      </c>
      <c r="B52" s="2049"/>
      <c r="C52" s="2049"/>
      <c r="D52" s="2049"/>
      <c r="E52" s="411">
        <f t="shared" ref="E52:L52" si="8">IF(ISERROR(1+E50/E49),0,1+E50/E49)</f>
        <v>0</v>
      </c>
      <c r="F52" s="411">
        <f t="shared" si="8"/>
        <v>0</v>
      </c>
      <c r="G52" s="411">
        <f t="shared" si="8"/>
        <v>0</v>
      </c>
      <c r="H52" s="411">
        <f t="shared" si="8"/>
        <v>0</v>
      </c>
      <c r="I52" s="411">
        <f t="shared" si="8"/>
        <v>0</v>
      </c>
      <c r="J52" s="411">
        <f t="shared" si="8"/>
        <v>0</v>
      </c>
      <c r="K52" s="411">
        <f t="shared" si="8"/>
        <v>0</v>
      </c>
      <c r="L52" s="411">
        <f t="shared" si="8"/>
        <v>0</v>
      </c>
      <c r="M52" s="403"/>
      <c r="N52" s="403"/>
      <c r="Q52" s="6"/>
      <c r="V52" s="6"/>
      <c r="CU52" s="401"/>
      <c r="CV52" s="401"/>
      <c r="CW52" s="401"/>
      <c r="CX52" s="401"/>
      <c r="CY52" s="401"/>
      <c r="CZ52" s="401"/>
      <c r="DA52" s="401"/>
      <c r="DB52" s="401"/>
      <c r="DC52" s="401"/>
      <c r="DD52" s="401"/>
    </row>
    <row r="53" spans="1:108" s="404" customFormat="1" ht="15" customHeight="1" thickTop="1" thickBot="1">
      <c r="A53" s="2048" t="s">
        <v>2735</v>
      </c>
      <c r="B53" s="2049"/>
      <c r="C53" s="2049"/>
      <c r="D53" s="2084"/>
      <c r="E53" s="893">
        <f>IF(ISERROR(+E50/'FORM 1040-2'!$C$42),0,+E50/'FORM 1040-2'!$C$42)</f>
        <v>0</v>
      </c>
      <c r="F53" s="893">
        <f>IF(ISERROR(+F50/'FORM 1040-2'!$C$42),0,+F50/'FORM 1040-2'!$C$42)</f>
        <v>0</v>
      </c>
      <c r="G53" s="893">
        <f>IF(ISERROR(+G50/'FORM 1040-2'!$C$42),0,+G50/'FORM 1040-2'!$C$42)</f>
        <v>0</v>
      </c>
      <c r="H53" s="893">
        <f>IF(ISERROR(+H50/'FORM 1040-2'!$C$42),0,+H50/'FORM 1040-2'!$C$42)</f>
        <v>0</v>
      </c>
      <c r="I53" s="893">
        <f>IF(ISERROR(+I50/'FORM 1040-2'!$C$42),0,+I50/'FORM 1040-2'!$C$42)</f>
        <v>0</v>
      </c>
      <c r="J53" s="893">
        <f>IF(ISERROR(+J50/'FORM 1040-2'!$C$42),0,+J50/'FORM 1040-2'!$C$42)</f>
        <v>0</v>
      </c>
      <c r="K53" s="893">
        <f>IF(ISERROR(+K50/'FORM 1040-2'!$C$42),0,+K50/'FORM 1040-2'!$C$42)</f>
        <v>0</v>
      </c>
      <c r="L53" s="893">
        <f>IF(ISERROR(+L50/'FORM 1040-2'!$C$42),0,+L50/'FORM 1040-2'!$C$42)</f>
        <v>0</v>
      </c>
      <c r="M53" s="403"/>
      <c r="N53" s="403"/>
      <c r="Q53" s="6"/>
      <c r="R53" s="39"/>
      <c r="S53" s="39"/>
      <c r="T53" s="1512"/>
      <c r="V53" s="6"/>
      <c r="CU53" s="401"/>
      <c r="CV53" s="401"/>
      <c r="CW53" s="401"/>
      <c r="CX53" s="401"/>
      <c r="CY53" s="401"/>
      <c r="CZ53" s="401"/>
      <c r="DA53" s="401"/>
      <c r="DB53" s="401"/>
      <c r="DC53" s="401"/>
      <c r="DD53" s="401"/>
    </row>
    <row r="54" spans="1:108" ht="9.9499999999999993" customHeight="1" thickTop="1" thickBot="1">
      <c r="A54" s="413"/>
      <c r="B54" s="413"/>
      <c r="C54" s="413"/>
      <c r="D54" s="413"/>
      <c r="E54" s="414"/>
      <c r="F54" s="414"/>
      <c r="G54" s="414"/>
      <c r="H54" s="414"/>
      <c r="I54" s="414"/>
      <c r="J54" s="414"/>
      <c r="K54" s="414"/>
      <c r="L54" s="414"/>
      <c r="M54" s="108"/>
      <c r="N54" s="403"/>
      <c r="O54" s="404"/>
    </row>
    <row r="55" spans="1:108" s="410" customFormat="1" ht="15" customHeight="1" thickTop="1" thickBot="1">
      <c r="A55" s="2048" t="s">
        <v>2734</v>
      </c>
      <c r="B55" s="2049"/>
      <c r="C55" s="2049"/>
      <c r="D55" s="2084"/>
      <c r="E55" s="1205">
        <f>+L29+E50</f>
        <v>0</v>
      </c>
      <c r="F55" s="1205">
        <f t="shared" ref="F55:L55" si="9">+F50+E55</f>
        <v>0</v>
      </c>
      <c r="G55" s="1205">
        <f t="shared" si="9"/>
        <v>0</v>
      </c>
      <c r="H55" s="1205">
        <f t="shared" si="9"/>
        <v>0</v>
      </c>
      <c r="I55" s="1205">
        <f t="shared" si="9"/>
        <v>0</v>
      </c>
      <c r="J55" s="1205">
        <f t="shared" si="9"/>
        <v>0</v>
      </c>
      <c r="K55" s="1205">
        <f t="shared" si="9"/>
        <v>0</v>
      </c>
      <c r="L55" s="1205">
        <f t="shared" si="9"/>
        <v>0</v>
      </c>
      <c r="M55" s="403"/>
      <c r="N55" s="403"/>
      <c r="O55" s="404"/>
      <c r="P55" s="1531"/>
      <c r="Q55" s="6"/>
      <c r="R55" s="1512"/>
      <c r="S55" s="1512"/>
      <c r="T55" s="1512"/>
      <c r="U55" s="404"/>
      <c r="V55" s="6"/>
      <c r="W55" s="404"/>
      <c r="X55" s="404"/>
      <c r="Y55" s="404"/>
      <c r="Z55" s="404"/>
      <c r="AA55" s="404"/>
      <c r="AB55" s="404"/>
      <c r="AC55" s="404"/>
      <c r="AD55" s="404"/>
      <c r="AE55" s="404"/>
      <c r="AF55" s="404"/>
      <c r="AG55" s="404"/>
      <c r="AH55" s="404"/>
      <c r="AI55" s="404"/>
      <c r="AJ55" s="404"/>
      <c r="AK55" s="404"/>
      <c r="AL55" s="404"/>
      <c r="AM55" s="404"/>
      <c r="AN55" s="404"/>
      <c r="AO55" s="404"/>
      <c r="AP55" s="404"/>
      <c r="AQ55" s="404"/>
      <c r="AR55" s="404"/>
      <c r="AS55" s="404"/>
      <c r="AT55" s="404"/>
      <c r="AU55" s="404"/>
      <c r="AV55" s="404"/>
      <c r="AW55" s="404"/>
      <c r="AX55" s="404"/>
      <c r="AY55" s="404"/>
      <c r="AZ55" s="404"/>
      <c r="BA55" s="404"/>
      <c r="BB55" s="404"/>
      <c r="BC55" s="404"/>
      <c r="BD55" s="404"/>
      <c r="BE55" s="404"/>
      <c r="BF55" s="404"/>
      <c r="BG55" s="404"/>
      <c r="BH55" s="404"/>
      <c r="BI55" s="404"/>
      <c r="BJ55" s="404"/>
      <c r="BK55" s="404"/>
      <c r="BL55" s="404"/>
      <c r="BM55" s="404"/>
      <c r="BN55" s="404"/>
      <c r="BO55" s="404"/>
      <c r="BP55" s="404"/>
      <c r="BQ55" s="404"/>
      <c r="BR55" s="404"/>
      <c r="BS55" s="404"/>
      <c r="BT55" s="404"/>
      <c r="BU55" s="404"/>
      <c r="BV55" s="404"/>
      <c r="BW55" s="404"/>
      <c r="BX55" s="404"/>
      <c r="BY55" s="404"/>
      <c r="BZ55" s="404"/>
      <c r="CA55" s="404"/>
      <c r="CB55" s="404"/>
      <c r="CC55" s="404"/>
      <c r="CD55" s="404"/>
      <c r="CE55" s="404"/>
      <c r="CF55" s="404"/>
      <c r="CG55" s="404"/>
      <c r="CH55" s="404"/>
      <c r="CI55" s="404"/>
      <c r="CJ55" s="404"/>
      <c r="CK55" s="404"/>
      <c r="CL55" s="404"/>
      <c r="CM55" s="404"/>
      <c r="CN55" s="404"/>
      <c r="CO55" s="404"/>
      <c r="CP55" s="404"/>
      <c r="CQ55" s="404"/>
      <c r="CR55" s="404"/>
      <c r="CS55" s="404"/>
      <c r="CT55" s="404"/>
      <c r="CU55" s="409"/>
      <c r="CV55" s="409"/>
      <c r="CW55" s="409"/>
      <c r="CX55" s="409"/>
      <c r="CY55" s="409"/>
      <c r="CZ55" s="409"/>
      <c r="DA55" s="409"/>
      <c r="DB55" s="409"/>
      <c r="DC55" s="409"/>
      <c r="DD55" s="409"/>
    </row>
    <row r="56" spans="1:108" s="1512" customFormat="1" ht="9.9499999999999993" customHeight="1" thickTop="1">
      <c r="A56" s="413"/>
      <c r="B56" s="413"/>
      <c r="C56" s="413"/>
      <c r="D56" s="413"/>
      <c r="E56" s="414"/>
      <c r="F56" s="414"/>
      <c r="G56" s="414"/>
      <c r="H56" s="414"/>
      <c r="I56" s="414"/>
      <c r="J56" s="414"/>
      <c r="K56" s="414"/>
      <c r="L56" s="414"/>
      <c r="M56" s="108"/>
      <c r="N56" s="108"/>
      <c r="O56" s="1588"/>
      <c r="Q56" s="6"/>
      <c r="U56" s="404"/>
      <c r="V56" s="6"/>
    </row>
    <row r="57" spans="1:108" ht="12" customHeight="1">
      <c r="A57" s="2090" t="s">
        <v>2095</v>
      </c>
      <c r="B57" s="2090"/>
      <c r="C57" s="2090"/>
      <c r="D57" s="2090"/>
      <c r="E57" s="2090"/>
      <c r="F57" s="2090"/>
      <c r="G57" s="2090"/>
      <c r="H57" s="2090"/>
      <c r="I57" s="2090"/>
      <c r="J57" s="2090"/>
      <c r="K57" s="2090"/>
      <c r="L57" s="2090"/>
      <c r="M57" s="108"/>
      <c r="N57" s="108"/>
      <c r="O57" s="1588"/>
    </row>
    <row r="58" spans="1:108" ht="6" customHeight="1">
      <c r="A58" s="413"/>
      <c r="B58" s="413"/>
      <c r="C58" s="413"/>
      <c r="D58" s="244"/>
      <c r="E58" s="244"/>
      <c r="F58" s="244"/>
      <c r="G58" s="244"/>
      <c r="H58" s="414"/>
      <c r="I58" s="414"/>
      <c r="J58" s="414"/>
      <c r="K58" s="414"/>
      <c r="L58" s="414"/>
      <c r="M58" s="108"/>
      <c r="N58" s="108"/>
    </row>
    <row r="59" spans="1:108" ht="13.5" thickBot="1">
      <c r="B59" s="1035">
        <v>1</v>
      </c>
      <c r="C59" s="1960" t="s">
        <v>2096</v>
      </c>
      <c r="D59" s="1960"/>
      <c r="E59" s="1960"/>
      <c r="F59" s="1960"/>
      <c r="G59" s="1960"/>
      <c r="H59" s="991" t="b">
        <f>IF(OR(S1=TRUE,S2=TRUE,S3=TRUE,S4=TRUE,S5=TRUE,S6=TRUE,S7=TRUE,S8=TRUE,S9=TRUE,S10=TRUE,S11=TRUE,S12=TRUE,S13=TRUE,S14=TRUE,S15=TRUE,S16=TRUE,S17=TRUE,S18=TRUE,S19=TRUE,S20=TRUE,S21=TRUE,S22=TRUE,S23=TRUE,S24=TRUE,S25=TRUE,S26=TRUE,S27=TRUE,S28=TRUE,S29=TRUE,S30=TRUE),TRUE,FALSE)</f>
        <v>0</v>
      </c>
    </row>
    <row r="60" spans="1:108" ht="6" customHeight="1" thickTop="1">
      <c r="D60" s="1033"/>
      <c r="E60" s="1033"/>
      <c r="F60" s="1033"/>
      <c r="H60" s="987"/>
    </row>
    <row r="61" spans="1:108">
      <c r="B61" s="1035">
        <v>2</v>
      </c>
      <c r="C61" s="2089" t="s">
        <v>2094</v>
      </c>
      <c r="D61" s="2089"/>
      <c r="E61" s="2089"/>
      <c r="F61" s="2089"/>
      <c r="G61" s="2089"/>
      <c r="H61" s="2089"/>
    </row>
    <row r="62" spans="1:108" ht="6" customHeight="1" thickBot="1"/>
    <row r="63" spans="1:108" ht="14.25" thickTop="1" thickBot="1">
      <c r="B63" s="1034"/>
      <c r="C63" s="91" t="s">
        <v>63</v>
      </c>
      <c r="D63" s="1960" t="s">
        <v>2097</v>
      </c>
      <c r="E63" s="1960"/>
      <c r="F63" s="1960"/>
      <c r="G63" s="1960"/>
      <c r="H63" s="1960"/>
      <c r="I63" s="1960"/>
      <c r="J63" s="1960"/>
      <c r="K63" s="204"/>
      <c r="Q63" s="318"/>
      <c r="V63" s="318"/>
    </row>
    <row r="64" spans="1:108" ht="6" customHeight="1" thickTop="1" thickBot="1"/>
    <row r="65" spans="1:12" ht="14.25" thickTop="1" thickBot="1">
      <c r="C65" s="91" t="s">
        <v>64</v>
      </c>
      <c r="D65" s="1960" t="s">
        <v>2098</v>
      </c>
      <c r="E65" s="1960"/>
      <c r="F65" s="1960"/>
      <c r="G65" s="1960"/>
      <c r="H65" s="1960"/>
      <c r="I65" s="1960"/>
      <c r="J65" s="1960"/>
      <c r="K65" s="204"/>
    </row>
    <row r="66" spans="1:12" ht="6" customHeight="1" thickTop="1"/>
    <row r="67" spans="1:12" ht="26.1" customHeight="1">
      <c r="A67" s="2088" t="s">
        <v>2249</v>
      </c>
      <c r="B67" s="2088"/>
      <c r="C67" s="2088"/>
      <c r="D67" s="2088"/>
      <c r="E67" s="2088"/>
      <c r="F67" s="2088"/>
      <c r="G67" s="2088"/>
      <c r="H67" s="2088"/>
      <c r="I67" s="2088"/>
      <c r="J67" s="2088"/>
      <c r="K67" s="2088"/>
      <c r="L67" s="2088"/>
    </row>
  </sheetData>
  <sheetProtection algorithmName="SHA-512" hashValue="0C2Vwpaef9ciUsReDtCc+8kngAMhZoSOy/G7MqAlsNZBADsiURDwzpytrKKoBScerzofE2QI2bCVDrYZ4F68KQ==" saltValue="UtnphzAB/k5P+Y1l8+K2rA==" spinCount="100000" sheet="1" objects="1" scenarios="1"/>
  <mergeCells count="54">
    <mergeCell ref="B5:L5"/>
    <mergeCell ref="A17:D17"/>
    <mergeCell ref="E7:L7"/>
    <mergeCell ref="A8:D8"/>
    <mergeCell ref="A9:D9"/>
    <mergeCell ref="A10:D10"/>
    <mergeCell ref="A11:D11"/>
    <mergeCell ref="A12:D12"/>
    <mergeCell ref="A13:D13"/>
    <mergeCell ref="A14:D14"/>
    <mergeCell ref="A15:D15"/>
    <mergeCell ref="A16:D16"/>
    <mergeCell ref="A50:D50"/>
    <mergeCell ref="A53:D53"/>
    <mergeCell ref="A45:D45"/>
    <mergeCell ref="A46:D46"/>
    <mergeCell ref="A49:D49"/>
    <mergeCell ref="A51:D51"/>
    <mergeCell ref="A52:D52"/>
    <mergeCell ref="A48:D48"/>
    <mergeCell ref="A47:D47"/>
    <mergeCell ref="A38:D38"/>
    <mergeCell ref="E33:L33"/>
    <mergeCell ref="A26:D26"/>
    <mergeCell ref="A18:D18"/>
    <mergeCell ref="A24:D24"/>
    <mergeCell ref="A25:D25"/>
    <mergeCell ref="A27:D27"/>
    <mergeCell ref="A22:D22"/>
    <mergeCell ref="A19:D19"/>
    <mergeCell ref="A20:D20"/>
    <mergeCell ref="A23:D23"/>
    <mergeCell ref="A21:D21"/>
    <mergeCell ref="D65:J65"/>
    <mergeCell ref="A67:L67"/>
    <mergeCell ref="C59:G59"/>
    <mergeCell ref="C61:H61"/>
    <mergeCell ref="A57:L57"/>
    <mergeCell ref="M1:O3"/>
    <mergeCell ref="A29:D29"/>
    <mergeCell ref="A55:D55"/>
    <mergeCell ref="N47:O47"/>
    <mergeCell ref="D63:J63"/>
    <mergeCell ref="A44:D44"/>
    <mergeCell ref="A3:L3"/>
    <mergeCell ref="A39:D39"/>
    <mergeCell ref="A40:D40"/>
    <mergeCell ref="A41:D41"/>
    <mergeCell ref="A42:D42"/>
    <mergeCell ref="A43:D43"/>
    <mergeCell ref="A34:D34"/>
    <mergeCell ref="A35:D35"/>
    <mergeCell ref="A36:D36"/>
    <mergeCell ref="A37:D37"/>
  </mergeCells>
  <pageMargins left="0.75" right="0.5" top="0.5" bottom="0.75" header="0" footer="0.5"/>
  <pageSetup scale="78" firstPageNumber="25" orientation="portrait" verticalDpi="300" r:id="rId1"/>
  <headerFooter alignWithMargins="0">
    <oddFooter>&amp;C&amp;A&amp;R&amp;D &amp;T</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pageSetUpPr fitToPage="1"/>
  </sheetPr>
  <dimension ref="A1:AE100"/>
  <sheetViews>
    <sheetView workbookViewId="0"/>
  </sheetViews>
  <sheetFormatPr defaultColWidth="10.7109375" defaultRowHeight="12.75"/>
  <cols>
    <col min="1" max="1" width="4.7109375" style="4" customWidth="1"/>
    <col min="2" max="5" width="2.7109375" style="4" customWidth="1"/>
    <col min="6" max="7" width="4.7109375" style="4" customWidth="1"/>
    <col min="8" max="8" width="2.7109375" style="4" customWidth="1"/>
    <col min="9" max="9" width="4.7109375" style="4" customWidth="1"/>
    <col min="10" max="10" width="2.7109375" style="4" customWidth="1"/>
    <col min="11" max="11" width="6.7109375" style="4" customWidth="1"/>
    <col min="12" max="12" width="7.7109375" style="4" customWidth="1"/>
    <col min="13" max="13" width="11.7109375" style="4" customWidth="1"/>
    <col min="14" max="14" width="12.7109375" style="4" customWidth="1"/>
    <col min="15" max="15" width="19.7109375" style="4" customWidth="1"/>
    <col min="16" max="16" width="10.7109375" style="4" customWidth="1"/>
    <col min="17" max="17" width="12.7109375" style="4" customWidth="1"/>
    <col min="18" max="18" width="10.7109375" style="4" customWidth="1"/>
    <col min="19" max="19" width="10.7109375" style="12" customWidth="1"/>
    <col min="20" max="20" width="10.7109375" style="87" customWidth="1"/>
    <col min="21" max="21" width="5.7109375" style="6" customWidth="1"/>
    <col min="22" max="23" width="10.7109375" style="87" hidden="1" customWidth="1"/>
    <col min="24" max="24" width="10.7109375" style="4" hidden="1" customWidth="1"/>
    <col min="25" max="25" width="28.7109375" style="4" hidden="1" customWidth="1"/>
    <col min="26" max="26" width="21.85546875" style="4" hidden="1" customWidth="1"/>
    <col min="27" max="27" width="34.7109375" style="4" hidden="1" customWidth="1"/>
    <col min="28" max="30" width="17.7109375" style="39" hidden="1" customWidth="1"/>
    <col min="31" max="31" width="5.7109375" style="6" customWidth="1"/>
    <col min="32" max="16384" width="10.7109375" style="4"/>
  </cols>
  <sheetData>
    <row r="1" spans="1:31" s="814" customFormat="1">
      <c r="A1" s="1302" t="str">
        <f>IF('FORM 1040-1'!D15="","",'FORM 1040-1'!D15)</f>
        <v/>
      </c>
      <c r="B1" s="1303"/>
      <c r="C1" s="1303"/>
      <c r="D1" s="1303"/>
      <c r="E1" s="1303"/>
      <c r="F1" s="1303"/>
      <c r="G1" s="1303"/>
      <c r="H1" s="1303"/>
      <c r="I1" s="1303"/>
      <c r="J1" s="1303"/>
      <c r="K1" s="1303"/>
      <c r="L1" s="1303"/>
      <c r="M1" s="1303"/>
      <c r="N1" s="1303"/>
      <c r="O1" s="1303"/>
      <c r="P1" s="1303"/>
      <c r="Q1" s="1294" t="str">
        <f>IF('FORM 1040-1'!$E$12="","",'FORM 1040-1'!$E$12)</f>
        <v/>
      </c>
      <c r="S1" s="801"/>
      <c r="T1" s="87"/>
      <c r="U1" s="6"/>
      <c r="V1" s="87"/>
      <c r="W1" s="87"/>
      <c r="AB1" s="39"/>
      <c r="AC1" s="39"/>
      <c r="AD1" s="39"/>
      <c r="AE1" s="6"/>
    </row>
    <row r="2" spans="1:31" s="814" customFormat="1">
      <c r="S2" s="801"/>
      <c r="T2" s="87"/>
      <c r="U2" s="6"/>
      <c r="V2" s="87"/>
      <c r="W2" s="87"/>
      <c r="AB2" s="39"/>
      <c r="AC2" s="39"/>
      <c r="AD2" s="39"/>
      <c r="AE2" s="6"/>
    </row>
    <row r="3" spans="1:31" ht="15" customHeight="1">
      <c r="A3" s="12" t="s">
        <v>21</v>
      </c>
      <c r="B3" s="1593" t="s">
        <v>59</v>
      </c>
      <c r="C3" s="1593"/>
      <c r="D3" s="1593"/>
      <c r="E3" s="1593"/>
      <c r="F3" s="1593"/>
      <c r="G3" s="1593"/>
      <c r="H3" s="1593"/>
      <c r="I3" s="1593"/>
      <c r="J3" s="1593"/>
      <c r="K3" s="1593"/>
      <c r="L3" s="1593"/>
      <c r="M3" s="1593"/>
      <c r="N3" s="1593"/>
      <c r="O3" s="1593"/>
      <c r="P3" s="1593"/>
      <c r="Q3" s="1593"/>
      <c r="R3" s="1710" t="s">
        <v>1621</v>
      </c>
      <c r="S3" s="1710"/>
      <c r="T3" s="1710"/>
      <c r="X3" s="293" t="s">
        <v>1651</v>
      </c>
      <c r="Y3" s="22" t="b">
        <v>1</v>
      </c>
      <c r="Z3" s="22" t="b">
        <v>1</v>
      </c>
      <c r="AA3" s="22" t="s">
        <v>62</v>
      </c>
    </row>
    <row r="4" spans="1:31" ht="12" customHeight="1" thickBot="1">
      <c r="B4" s="85"/>
      <c r="R4" s="1710"/>
      <c r="S4" s="1710"/>
      <c r="T4" s="1710"/>
      <c r="X4" s="293" t="s">
        <v>1652</v>
      </c>
      <c r="Y4" s="22" t="b">
        <v>0</v>
      </c>
      <c r="Z4" s="22" t="b">
        <v>0</v>
      </c>
      <c r="AA4" s="22" t="s">
        <v>1648</v>
      </c>
    </row>
    <row r="5" spans="1:31" ht="15" customHeight="1" thickTop="1" thickBot="1">
      <c r="B5" s="2099" t="s">
        <v>65</v>
      </c>
      <c r="C5" s="2100"/>
      <c r="D5" s="2100"/>
      <c r="E5" s="2100"/>
      <c r="F5" s="2100"/>
      <c r="G5" s="2100"/>
      <c r="H5" s="2100"/>
      <c r="I5" s="2100"/>
      <c r="J5" s="2100"/>
      <c r="K5" s="2100"/>
      <c r="L5" s="2100"/>
      <c r="M5" s="2100"/>
      <c r="N5" s="2100"/>
      <c r="O5" s="2100"/>
      <c r="P5" s="2100"/>
      <c r="Q5" s="2101"/>
      <c r="R5" s="1710"/>
      <c r="S5" s="1710"/>
      <c r="T5" s="1710"/>
      <c r="X5" s="293" t="s">
        <v>1653</v>
      </c>
      <c r="Z5" s="293" t="s">
        <v>312</v>
      </c>
      <c r="AA5" s="22" t="s">
        <v>1649</v>
      </c>
    </row>
    <row r="6" spans="1:31" ht="12" customHeight="1" thickTop="1">
      <c r="R6" s="1710"/>
      <c r="S6" s="1710"/>
      <c r="T6" s="1710"/>
      <c r="X6" s="293" t="s">
        <v>312</v>
      </c>
      <c r="AA6" s="22" t="s">
        <v>332</v>
      </c>
    </row>
    <row r="7" spans="1:31" ht="26.1" customHeight="1">
      <c r="B7" s="1656" t="s">
        <v>2327</v>
      </c>
      <c r="C7" s="1656"/>
      <c r="D7" s="1656"/>
      <c r="E7" s="1656"/>
      <c r="F7" s="1656"/>
      <c r="G7" s="1656"/>
      <c r="H7" s="1656"/>
      <c r="I7" s="1656"/>
      <c r="J7" s="1656"/>
      <c r="K7" s="1656"/>
      <c r="L7" s="1656"/>
      <c r="M7" s="1656"/>
      <c r="N7" s="1656"/>
      <c r="O7" s="1656"/>
      <c r="P7" s="1656"/>
      <c r="Q7" s="1656"/>
      <c r="S7" s="12" t="s">
        <v>1647</v>
      </c>
      <c r="T7" s="2098" t="s">
        <v>2131</v>
      </c>
      <c r="V7" s="710" t="s">
        <v>1650</v>
      </c>
      <c r="W7" s="87" t="s">
        <v>764</v>
      </c>
      <c r="AA7" s="39"/>
    </row>
    <row r="8" spans="1:31" ht="6" customHeight="1" thickBot="1">
      <c r="T8" s="2098"/>
      <c r="AA8" s="39"/>
    </row>
    <row r="9" spans="1:31" s="689" customFormat="1" ht="15" customHeight="1" thickTop="1" thickBot="1">
      <c r="B9" s="1603" t="s">
        <v>1921</v>
      </c>
      <c r="C9" s="1603"/>
      <c r="D9" s="1603"/>
      <c r="E9" s="1603"/>
      <c r="F9" s="1603"/>
      <c r="G9" s="1603"/>
      <c r="H9" s="1603"/>
      <c r="I9" s="1603"/>
      <c r="J9" s="1603"/>
      <c r="K9" s="1603"/>
      <c r="L9" s="1603"/>
      <c r="M9" s="1603"/>
      <c r="N9" s="1603"/>
      <c r="O9" s="1603"/>
      <c r="P9" s="2094"/>
      <c r="Q9" s="834">
        <f>+'FORM 1040-2'!AZ42</f>
        <v>0</v>
      </c>
      <c r="S9" s="709">
        <f>IF(ISERROR(+Q9/Q13),0,+Q9/Q13)</f>
        <v>0</v>
      </c>
      <c r="T9" s="2098"/>
      <c r="U9" s="6"/>
      <c r="V9" s="87"/>
      <c r="W9" s="87"/>
      <c r="X9" s="1015" t="b">
        <f>IF(S9&lt;1,TRUE,FALSE)</f>
        <v>1</v>
      </c>
      <c r="AA9" s="39"/>
      <c r="AB9" s="39"/>
      <c r="AC9" s="39"/>
      <c r="AD9" s="39"/>
      <c r="AE9" s="6"/>
    </row>
    <row r="10" spans="1:31" s="689" customFormat="1" ht="6" customHeight="1" thickTop="1" thickBot="1">
      <c r="Q10" s="680"/>
      <c r="S10" s="709"/>
      <c r="T10" s="87"/>
      <c r="U10" s="6"/>
      <c r="V10" s="87"/>
      <c r="W10" s="87"/>
      <c r="AA10" s="39"/>
      <c r="AB10" s="39"/>
      <c r="AC10" s="39"/>
      <c r="AD10" s="39"/>
      <c r="AE10" s="6"/>
    </row>
    <row r="11" spans="1:31" s="689" customFormat="1" ht="15" customHeight="1" thickTop="1" thickBot="1">
      <c r="B11" s="1603" t="s">
        <v>2385</v>
      </c>
      <c r="C11" s="1603"/>
      <c r="D11" s="1603"/>
      <c r="E11" s="1603"/>
      <c r="F11" s="1603"/>
      <c r="G11" s="1603"/>
      <c r="H11" s="1603"/>
      <c r="I11" s="1603"/>
      <c r="J11" s="1603"/>
      <c r="K11" s="1603"/>
      <c r="L11" s="1603"/>
      <c r="M11" s="1603"/>
      <c r="N11" s="1603"/>
      <c r="O11" s="1603"/>
      <c r="P11" s="2094"/>
      <c r="Q11" s="834">
        <f>+'FORM 1040-2'!BA42+'FORM 1040-2'!BB42+'FORM 1040-2'!BC42</f>
        <v>0</v>
      </c>
      <c r="S11" s="709">
        <f>IF(ISERROR(+Q11/Q13),0,+Q11/Q13)</f>
        <v>0</v>
      </c>
      <c r="T11" s="87" t="b">
        <f>IF(AND(X9=TRUE,X11=TRUE),TRUE,FALSE)</f>
        <v>1</v>
      </c>
      <c r="U11" s="6"/>
      <c r="V11" s="87"/>
      <c r="W11" s="87"/>
      <c r="X11" s="1015" t="b">
        <f>IF(S11&lt;1,TRUE,FALSE)</f>
        <v>1</v>
      </c>
      <c r="AA11" s="39"/>
      <c r="AB11" s="39"/>
      <c r="AC11" s="39"/>
      <c r="AD11" s="39"/>
      <c r="AE11" s="6"/>
    </row>
    <row r="12" spans="1:31" s="689" customFormat="1" ht="6" customHeight="1" thickTop="1" thickBot="1">
      <c r="B12" s="85"/>
      <c r="C12" s="681"/>
      <c r="D12" s="681"/>
      <c r="E12" s="681"/>
      <c r="F12" s="681"/>
      <c r="G12" s="681"/>
      <c r="H12" s="681"/>
      <c r="I12" s="681"/>
      <c r="J12" s="681"/>
      <c r="K12" s="681"/>
      <c r="L12" s="681"/>
      <c r="M12" s="681"/>
      <c r="N12" s="681"/>
      <c r="O12" s="681"/>
      <c r="P12" s="681"/>
      <c r="Q12" s="680"/>
      <c r="S12" s="680"/>
      <c r="T12" s="87"/>
      <c r="U12" s="6"/>
      <c r="V12" s="87"/>
      <c r="W12" s="87"/>
      <c r="AA12" s="39"/>
      <c r="AB12" s="39"/>
      <c r="AC12" s="39"/>
      <c r="AD12" s="39"/>
      <c r="AE12" s="6"/>
    </row>
    <row r="13" spans="1:31" s="689" customFormat="1" ht="15" customHeight="1" thickTop="1" thickBot="1">
      <c r="B13" s="1603" t="s">
        <v>2384</v>
      </c>
      <c r="C13" s="1603"/>
      <c r="D13" s="1603"/>
      <c r="E13" s="1603"/>
      <c r="F13" s="1603"/>
      <c r="G13" s="1603"/>
      <c r="H13" s="1603"/>
      <c r="I13" s="1603"/>
      <c r="J13" s="1603"/>
      <c r="K13" s="1603"/>
      <c r="L13" s="1603"/>
      <c r="M13" s="1603"/>
      <c r="N13" s="1603"/>
      <c r="O13" s="1603"/>
      <c r="P13" s="2094"/>
      <c r="Q13" s="686">
        <f>+Q9+Q11</f>
        <v>0</v>
      </c>
      <c r="S13" s="680"/>
      <c r="T13" s="87"/>
      <c r="U13" s="6"/>
      <c r="V13" s="87"/>
      <c r="W13" s="87"/>
      <c r="X13" s="428" t="s">
        <v>1943</v>
      </c>
      <c r="Y13" s="429" t="s">
        <v>1944</v>
      </c>
      <c r="Z13" s="428" t="s">
        <v>1941</v>
      </c>
      <c r="AA13" s="429" t="s">
        <v>1942</v>
      </c>
      <c r="AB13" s="430" t="s">
        <v>532</v>
      </c>
      <c r="AC13" s="430" t="s">
        <v>162</v>
      </c>
      <c r="AD13" s="430" t="s">
        <v>642</v>
      </c>
      <c r="AE13" s="6"/>
    </row>
    <row r="14" spans="1:31" s="689" customFormat="1" ht="6" customHeight="1" thickTop="1">
      <c r="B14" s="85"/>
      <c r="C14" s="681"/>
      <c r="D14" s="681"/>
      <c r="E14" s="681"/>
      <c r="F14" s="681"/>
      <c r="G14" s="681"/>
      <c r="H14" s="681"/>
      <c r="I14" s="681"/>
      <c r="J14" s="681"/>
      <c r="K14" s="681"/>
      <c r="L14" s="681"/>
      <c r="M14" s="681"/>
      <c r="N14" s="681"/>
      <c r="O14" s="681"/>
      <c r="P14" s="681"/>
      <c r="Q14" s="681"/>
      <c r="S14" s="680"/>
      <c r="T14" s="87"/>
      <c r="U14" s="6"/>
      <c r="V14" s="87"/>
      <c r="W14" s="87"/>
      <c r="X14" s="430">
        <f>IF(AND(51&gt;M22,X22="Mix"),AB14*50,0)</f>
        <v>0</v>
      </c>
      <c r="Y14" s="430">
        <f>IF(AND(51&gt;M22,X22="MixwAcq"),AB14*50,0)</f>
        <v>0</v>
      </c>
      <c r="Z14" s="430">
        <f>IF(AND(M22&gt;50,X22="Mix"),AB14*40,0)</f>
        <v>0</v>
      </c>
      <c r="AA14" s="430">
        <f>IF(AND(M22&gt;50,X22="MixwAcq"),AB14*40,0)</f>
        <v>0</v>
      </c>
      <c r="AB14" s="867" t="e">
        <f>+AC14/AC17</f>
        <v>#DIV/0!</v>
      </c>
      <c r="AC14" s="430">
        <f>+'FORM 1040-2'!BA42</f>
        <v>0</v>
      </c>
      <c r="AD14" s="432" t="s">
        <v>865</v>
      </c>
      <c r="AE14" s="6"/>
    </row>
    <row r="15" spans="1:31" s="689" customFormat="1" ht="26.1" customHeight="1">
      <c r="B15" s="206" t="s">
        <v>53</v>
      </c>
      <c r="C15" s="1656" t="s">
        <v>2845</v>
      </c>
      <c r="D15" s="1656"/>
      <c r="E15" s="1656"/>
      <c r="F15" s="1656"/>
      <c r="G15" s="1656"/>
      <c r="H15" s="1656"/>
      <c r="I15" s="1656"/>
      <c r="J15" s="1656"/>
      <c r="K15" s="1656"/>
      <c r="L15" s="1656"/>
      <c r="M15" s="1656"/>
      <c r="N15" s="1656"/>
      <c r="O15" s="1656"/>
      <c r="P15" s="1656"/>
      <c r="Q15" s="1656"/>
      <c r="S15" s="680"/>
      <c r="T15" s="87"/>
      <c r="U15" s="6"/>
      <c r="V15" s="87"/>
      <c r="W15" s="87"/>
      <c r="X15" s="430">
        <f>IF(AND(51&gt;M22,X22="Mix"),AB15*30,0)</f>
        <v>0</v>
      </c>
      <c r="Y15" s="430">
        <f>IF(AND(51&gt;M22,X22="MixwAcq"),AB15*10,0)</f>
        <v>0</v>
      </c>
      <c r="Z15" s="430">
        <f>IF(AND(M22&gt;50,X22="Mix"),AB15*20,0)</f>
        <v>0</v>
      </c>
      <c r="AA15" s="430">
        <f>IF(AND(M22&gt;50,X22="MixwAcq"),AB15*0,0)</f>
        <v>0</v>
      </c>
      <c r="AB15" s="867" t="e">
        <f>+AC15/AC17</f>
        <v>#DIV/0!</v>
      </c>
      <c r="AC15" s="430">
        <f>+'FORM 1040-2'!BC43</f>
        <v>0</v>
      </c>
      <c r="AD15" s="432" t="s">
        <v>866</v>
      </c>
      <c r="AE15" s="6"/>
    </row>
    <row r="16" spans="1:31" s="689" customFormat="1" ht="12" customHeight="1">
      <c r="S16" s="680"/>
      <c r="T16" s="87"/>
      <c r="U16" s="6"/>
      <c r="V16" s="87"/>
      <c r="W16" s="87"/>
      <c r="X16" s="430">
        <f>IF(AND(51&gt;M22,X22="Mix"),AB16*30,0)</f>
        <v>0</v>
      </c>
      <c r="Y16" s="430">
        <f>IF(AND(51&gt;M22,X22="MixwAcq"),AB16*10,0)</f>
        <v>0</v>
      </c>
      <c r="Z16" s="430">
        <f>IF(AND(M22&gt;50,X22="Mix"),AB16*20,0)</f>
        <v>0</v>
      </c>
      <c r="AA16" s="430">
        <f>IF(AND(M22&gt;50,X22="MixwAcq"),AB16*0,0)</f>
        <v>0</v>
      </c>
      <c r="AB16" s="431" t="e">
        <f>+AC16/AC17</f>
        <v>#DIV/0!</v>
      </c>
      <c r="AC16" s="430">
        <f>+'FORM 1040-2'!BB42</f>
        <v>0</v>
      </c>
      <c r="AD16" s="432" t="s">
        <v>867</v>
      </c>
      <c r="AE16" s="6"/>
    </row>
    <row r="17" spans="1:31" ht="15" customHeight="1" thickBot="1">
      <c r="C17" s="423">
        <v>1</v>
      </c>
      <c r="D17" s="1593" t="s">
        <v>1894</v>
      </c>
      <c r="E17" s="1593"/>
      <c r="F17" s="1593"/>
      <c r="G17" s="1593"/>
      <c r="H17" s="1593"/>
      <c r="I17" s="1593"/>
      <c r="J17" s="1593"/>
      <c r="K17" s="1593"/>
      <c r="L17" s="1593"/>
      <c r="M17" s="1593"/>
      <c r="N17" s="1593"/>
      <c r="O17" s="1593"/>
      <c r="P17" s="1593"/>
      <c r="Q17" s="1593"/>
      <c r="S17" s="424" t="s">
        <v>795</v>
      </c>
      <c r="X17" s="430">
        <f>SUM(X14:X16)</f>
        <v>0</v>
      </c>
      <c r="Y17" s="430">
        <f>SUM(Y14:Y16)</f>
        <v>0</v>
      </c>
      <c r="Z17" s="430">
        <f>SUM(Z14:Z16)</f>
        <v>0</v>
      </c>
      <c r="AA17" s="430">
        <f>SUM(AA14:AA16)</f>
        <v>0</v>
      </c>
      <c r="AB17" s="433">
        <f>+X17+Y17+Z17+AA17</f>
        <v>0</v>
      </c>
      <c r="AC17" s="430">
        <f>SUM(AC14:AC16)</f>
        <v>0</v>
      </c>
      <c r="AD17" s="432" t="s">
        <v>665</v>
      </c>
    </row>
    <row r="18" spans="1:31" ht="6" customHeight="1">
      <c r="C18" s="423"/>
      <c r="D18" s="202"/>
      <c r="E18" s="202"/>
      <c r="F18" s="202"/>
      <c r="G18" s="202"/>
      <c r="H18" s="202"/>
      <c r="I18" s="202"/>
      <c r="J18" s="202"/>
      <c r="K18" s="202"/>
      <c r="L18" s="202"/>
      <c r="M18" s="202"/>
      <c r="N18" s="202"/>
      <c r="O18" s="202"/>
      <c r="P18" s="202"/>
      <c r="Q18" s="202"/>
      <c r="S18" s="26"/>
      <c r="AA18" s="39"/>
    </row>
    <row r="19" spans="1:31" ht="15" customHeight="1">
      <c r="C19" s="423"/>
      <c r="D19" s="423" t="s">
        <v>63</v>
      </c>
      <c r="E19" s="1694" t="s">
        <v>794</v>
      </c>
      <c r="F19" s="1694"/>
      <c r="G19" s="1694"/>
      <c r="H19" s="1694"/>
      <c r="I19" s="1694"/>
      <c r="J19" s="1694"/>
      <c r="K19" s="1694"/>
      <c r="L19" s="1694"/>
      <c r="M19" s="1694"/>
      <c r="N19" s="1694"/>
      <c r="O19" s="1694"/>
      <c r="P19" s="1694"/>
      <c r="Q19" s="1694"/>
      <c r="T19" s="305"/>
    </row>
    <row r="20" spans="1:31" ht="6" customHeight="1" thickBot="1">
      <c r="S20" s="4"/>
    </row>
    <row r="21" spans="1:31" ht="27.95" customHeight="1" thickTop="1" thickBot="1">
      <c r="E21" s="1780" t="s">
        <v>60</v>
      </c>
      <c r="F21" s="1843"/>
      <c r="G21" s="1843"/>
      <c r="H21" s="1843"/>
      <c r="I21" s="1843"/>
      <c r="J21" s="1843"/>
      <c r="K21" s="1843"/>
      <c r="L21" s="1781"/>
      <c r="M21" s="1100" t="s">
        <v>61</v>
      </c>
      <c r="N21" s="1780" t="s">
        <v>793</v>
      </c>
      <c r="O21" s="1843"/>
      <c r="P21" s="1843"/>
      <c r="Q21" s="1781"/>
      <c r="S21" s="424"/>
      <c r="T21" s="305"/>
      <c r="X21" s="12" t="s">
        <v>642</v>
      </c>
    </row>
    <row r="22" spans="1:31" ht="20.100000000000001" customHeight="1" thickTop="1" thickBot="1">
      <c r="A22" s="202"/>
      <c r="B22" s="202"/>
      <c r="C22" s="423"/>
      <c r="E22" s="1657"/>
      <c r="F22" s="1651"/>
      <c r="G22" s="1651"/>
      <c r="H22" s="1651"/>
      <c r="I22" s="1651"/>
      <c r="J22" s="1651"/>
      <c r="K22" s="1651"/>
      <c r="L22" s="1658"/>
      <c r="M22" s="339">
        <f>'FORM 1040-22'!F52</f>
        <v>0</v>
      </c>
      <c r="N22" s="1780" t="str">
        <f>+'FORM 1040-2'!BA57</f>
        <v/>
      </c>
      <c r="O22" s="1843"/>
      <c r="P22" s="1843"/>
      <c r="Q22" s="1781"/>
      <c r="S22" s="716" t="str">
        <f>IF(E22="","",IF(M22=0,0,IF(AND(51&gt;M22,X22="New"),50,IF(AND(M22&gt;50,X22="New"),40,IF(AND(51&gt;M22,X22="Rehab"),30,IF(AND(M22&gt;50,X22="Rehab"),20,IF(AND(51&gt;M22,X22="A&amp;R"),10,IF(AND(M22&gt;50,X22="A&amp;R"),0,IF(AND(51&gt;M22,X22="Mix"),AB17,IF(AND(M22&gt;50,X22="Mix"),AB17,IF(AND(51&gt;M22,X22="MixwAcq"),AB17,IF(AND(M22&gt;50,X22="MixwAcq"),AB17,IF(AND(M22&gt;-1,X22=0),0)))))))))))))</f>
        <v/>
      </c>
      <c r="T22" s="305"/>
      <c r="X22" s="12">
        <f>IF(N22="New Construction","New",IF(N22="Rehabilitation","Rehab",IF(N22="Rehabilitation &amp; Acquisition","A&amp;R",IF(N22="Adaptive Re-Use","Rehab",IF(N22="New Construction &amp; Rehabilitation","Mix",IF(N22="New Construction &amp; Adaptive Re-Use","Mix",IF(N22="Rehabilitation &amp; Adaptive Re-Use","Rehab",IF(N22="Adaptive Re-Use &amp; Acquisition","A&amp;R",IF(N22="New Construction &amp; Rehab &amp; Acq","MixwAcq",IF(N22="New Construction &amp; Rehab &amp; Adaptive Re-Use","Mix",IF(N22="New Construction &amp; Adaptive Re-Use &amp; Acq","MixwAcq",IF(N22="Rehab &amp; Adaptive Re-Use &amp; Acq","A&amp;R",IF(N22="New Construction &amp; Rehab &amp; Adaptive Re-Use &amp; Acq","MixwAcq",IF(N22="",0))))))))))))))</f>
        <v>0</v>
      </c>
      <c r="Y22" s="851" t="str">
        <f>IF(N22="","",(N22))</f>
        <v/>
      </c>
      <c r="Z22" s="4" t="s">
        <v>963</v>
      </c>
    </row>
    <row r="23" spans="1:31" ht="6" customHeight="1" thickTop="1"/>
    <row r="24" spans="1:31" s="689" customFormat="1" ht="26.1" customHeight="1">
      <c r="C24" s="426">
        <v>2</v>
      </c>
      <c r="D24" s="1668" t="s">
        <v>1895</v>
      </c>
      <c r="E24" s="1668"/>
      <c r="F24" s="1668"/>
      <c r="G24" s="1668"/>
      <c r="H24" s="1668"/>
      <c r="I24" s="1668"/>
      <c r="J24" s="1668"/>
      <c r="K24" s="1668"/>
      <c r="L24" s="1668"/>
      <c r="M24" s="1668"/>
      <c r="N24" s="1668"/>
      <c r="O24" s="1668"/>
      <c r="P24" s="1668"/>
      <c r="Q24" s="1668"/>
      <c r="S24" s="683"/>
      <c r="T24" s="87"/>
      <c r="U24" s="6"/>
      <c r="V24" s="87"/>
      <c r="W24" s="87"/>
      <c r="AA24" s="39"/>
      <c r="AB24" s="39"/>
      <c r="AC24" s="39"/>
      <c r="AD24" s="39"/>
      <c r="AE24" s="6"/>
    </row>
    <row r="25" spans="1:31" s="689" customFormat="1" ht="6" customHeight="1" thickBot="1">
      <c r="S25" s="680"/>
      <c r="T25" s="87"/>
      <c r="U25" s="6"/>
      <c r="V25" s="87"/>
      <c r="W25" s="87"/>
      <c r="AB25" s="39"/>
      <c r="AC25" s="39"/>
      <c r="AD25" s="39"/>
      <c r="AE25" s="6"/>
    </row>
    <row r="26" spans="1:31" ht="15" customHeight="1" thickBot="1">
      <c r="C26" s="426"/>
      <c r="D26" s="1679" t="s">
        <v>1896</v>
      </c>
      <c r="E26" s="1679"/>
      <c r="F26" s="1679"/>
      <c r="G26" s="1679"/>
      <c r="H26" s="1679"/>
      <c r="I26" s="1679"/>
      <c r="J26" s="1679"/>
      <c r="K26" s="1679"/>
      <c r="L26" s="1679"/>
      <c r="M26" s="1679"/>
      <c r="N26" s="1679"/>
      <c r="O26" s="1679"/>
      <c r="P26" s="1679"/>
      <c r="Q26" s="427"/>
      <c r="S26" s="716">
        <f>+(V26*$S$9)+(W26*$S$11)</f>
        <v>0</v>
      </c>
      <c r="T26" s="305"/>
      <c r="V26" s="864">
        <f>IF(Q26="Tier 1",100,IF(Q26="Tier 2", 75,IF(Q26="Tier 3",50,IF(Q26="N/A",0,0))))</f>
        <v>0</v>
      </c>
      <c r="W26" s="864">
        <v>0</v>
      </c>
      <c r="AB26" s="4"/>
      <c r="AC26" s="4"/>
      <c r="AD26" s="4"/>
    </row>
    <row r="27" spans="1:31" ht="6" customHeight="1" thickTop="1">
      <c r="AB27" s="4"/>
      <c r="AC27" s="4"/>
      <c r="AD27" s="4"/>
    </row>
    <row r="28" spans="1:31" s="689" customFormat="1" ht="15" customHeight="1">
      <c r="C28" s="423">
        <v>3</v>
      </c>
      <c r="D28" s="1668" t="s">
        <v>2846</v>
      </c>
      <c r="E28" s="1668"/>
      <c r="F28" s="1668"/>
      <c r="G28" s="1668"/>
      <c r="H28" s="1668"/>
      <c r="I28" s="1668"/>
      <c r="J28" s="1668"/>
      <c r="K28" s="1668"/>
      <c r="L28" s="1668"/>
      <c r="M28" s="1668"/>
      <c r="N28" s="1668"/>
      <c r="O28" s="1668"/>
      <c r="P28" s="1668"/>
      <c r="Q28" s="1668"/>
      <c r="S28" s="680"/>
      <c r="T28" s="87"/>
      <c r="U28" s="6"/>
      <c r="V28" s="87"/>
      <c r="W28" s="87"/>
      <c r="AE28" s="6"/>
    </row>
    <row r="29" spans="1:31" s="689" customFormat="1" ht="6" customHeight="1">
      <c r="S29" s="680"/>
      <c r="T29" s="87"/>
      <c r="U29" s="6"/>
      <c r="V29" s="87"/>
      <c r="W29" s="87"/>
      <c r="AE29" s="6"/>
    </row>
    <row r="30" spans="1:31" s="689" customFormat="1" ht="15" customHeight="1">
      <c r="D30" s="423" t="s">
        <v>63</v>
      </c>
      <c r="E30" s="1603" t="s">
        <v>2751</v>
      </c>
      <c r="F30" s="1603"/>
      <c r="G30" s="1603"/>
      <c r="H30" s="1603"/>
      <c r="I30" s="1603"/>
      <c r="J30" s="1603"/>
      <c r="K30" s="1603"/>
      <c r="L30" s="1603"/>
      <c r="M30" s="1603"/>
      <c r="N30" s="1603"/>
      <c r="O30" s="1603"/>
      <c r="P30" s="1603"/>
      <c r="Q30" s="1603"/>
      <c r="S30" s="680"/>
      <c r="T30" s="87"/>
      <c r="U30" s="6"/>
      <c r="V30" s="87"/>
      <c r="W30" s="87"/>
      <c r="Z30" s="835"/>
      <c r="AE30" s="6"/>
    </row>
    <row r="31" spans="1:31" s="689" customFormat="1" ht="6" customHeight="1">
      <c r="S31" s="680"/>
      <c r="T31" s="87"/>
      <c r="U31" s="6"/>
      <c r="V31" s="87"/>
      <c r="W31" s="87"/>
      <c r="AE31" s="6"/>
    </row>
    <row r="32" spans="1:31" s="689" customFormat="1" ht="53.1" customHeight="1" thickBot="1">
      <c r="E32" s="713" t="s">
        <v>316</v>
      </c>
      <c r="F32" s="1752" t="s">
        <v>2752</v>
      </c>
      <c r="G32" s="1752"/>
      <c r="H32" s="1752"/>
      <c r="I32" s="1752"/>
      <c r="J32" s="1752"/>
      <c r="K32" s="1752"/>
      <c r="L32" s="1752"/>
      <c r="M32" s="1752"/>
      <c r="N32" s="1752"/>
      <c r="O32" s="1752"/>
      <c r="P32" s="1752"/>
      <c r="Q32" s="679"/>
      <c r="S32" s="680"/>
      <c r="T32" s="87"/>
      <c r="U32" s="6"/>
      <c r="V32" s="87"/>
      <c r="W32" s="87"/>
      <c r="AE32" s="6"/>
    </row>
    <row r="33" spans="4:31" s="689" customFormat="1" ht="6" customHeight="1" thickTop="1" thickBot="1">
      <c r="S33" s="680"/>
      <c r="T33" s="87"/>
      <c r="U33" s="6"/>
      <c r="V33" s="87"/>
      <c r="W33" s="87"/>
      <c r="AE33" s="6"/>
    </row>
    <row r="34" spans="4:31" s="689" customFormat="1" ht="15" customHeight="1" thickTop="1" thickBot="1">
      <c r="E34" s="85" t="s">
        <v>317</v>
      </c>
      <c r="F34" s="1603" t="s">
        <v>1897</v>
      </c>
      <c r="G34" s="1603"/>
      <c r="H34" s="1603"/>
      <c r="I34" s="1603"/>
      <c r="J34" s="1603"/>
      <c r="K34" s="1603"/>
      <c r="L34" s="1603"/>
      <c r="M34" s="1603"/>
      <c r="N34" s="2094"/>
      <c r="O34" s="715"/>
      <c r="S34" s="680"/>
      <c r="T34" s="87"/>
      <c r="U34" s="6"/>
      <c r="V34" s="87"/>
      <c r="W34" s="87"/>
      <c r="AE34" s="6"/>
    </row>
    <row r="35" spans="4:31" s="689" customFormat="1" ht="6" customHeight="1" thickTop="1" thickBot="1">
      <c r="S35" s="680"/>
      <c r="T35" s="87"/>
      <c r="U35" s="6"/>
      <c r="V35" s="87"/>
      <c r="W35" s="87"/>
      <c r="AE35" s="6"/>
    </row>
    <row r="36" spans="4:31" s="689" customFormat="1" ht="15" customHeight="1" thickTop="1" thickBot="1">
      <c r="E36" s="85" t="s">
        <v>318</v>
      </c>
      <c r="F36" s="1603" t="s">
        <v>1654</v>
      </c>
      <c r="G36" s="1603"/>
      <c r="H36" s="1603"/>
      <c r="I36" s="1603"/>
      <c r="J36" s="1603"/>
      <c r="K36" s="1603"/>
      <c r="L36" s="1603"/>
      <c r="M36" s="1603"/>
      <c r="N36" s="2094"/>
      <c r="O36" s="714">
        <f>SUM('FORM 1040-8'!R12:R22)</f>
        <v>0</v>
      </c>
      <c r="S36" s="680"/>
      <c r="T36" s="87"/>
      <c r="U36" s="6"/>
      <c r="V36" s="87"/>
      <c r="W36" s="87"/>
      <c r="AE36" s="6"/>
    </row>
    <row r="37" spans="4:31" s="689" customFormat="1" ht="6" customHeight="1" thickTop="1" thickBot="1">
      <c r="S37" s="680"/>
      <c r="T37" s="87"/>
      <c r="U37" s="6"/>
      <c r="V37" s="87"/>
      <c r="W37" s="87"/>
      <c r="AE37" s="6"/>
    </row>
    <row r="38" spans="4:31" s="689" customFormat="1" ht="15" customHeight="1" thickTop="1" thickBot="1">
      <c r="E38" s="85" t="s">
        <v>1655</v>
      </c>
      <c r="F38" s="1603" t="s">
        <v>1656</v>
      </c>
      <c r="G38" s="1603"/>
      <c r="H38" s="1603"/>
      <c r="I38" s="1603"/>
      <c r="J38" s="1603"/>
      <c r="K38" s="1603"/>
      <c r="L38" s="1603"/>
      <c r="M38" s="1603"/>
      <c r="N38" s="1603"/>
      <c r="O38" s="434">
        <f>IF(ISERROR(+O34/O36),0,+O34/O36)</f>
        <v>0</v>
      </c>
      <c r="S38" s="680"/>
      <c r="T38" s="87"/>
      <c r="U38" s="6"/>
      <c r="V38" s="87"/>
      <c r="W38" s="87"/>
      <c r="AE38" s="6"/>
    </row>
    <row r="39" spans="4:31" s="689" customFormat="1" ht="6" customHeight="1" thickTop="1" thickBot="1">
      <c r="S39" s="680"/>
      <c r="T39" s="87"/>
      <c r="U39" s="6"/>
      <c r="V39" s="87"/>
      <c r="W39" s="87"/>
      <c r="AE39" s="6"/>
    </row>
    <row r="40" spans="4:31" s="689" customFormat="1" ht="26.1" customHeight="1" thickTop="1" thickBot="1">
      <c r="E40" s="206" t="s">
        <v>1657</v>
      </c>
      <c r="F40" s="2095" t="s">
        <v>1658</v>
      </c>
      <c r="G40" s="2095"/>
      <c r="H40" s="2095"/>
      <c r="I40" s="2095"/>
      <c r="J40" s="2095"/>
      <c r="K40" s="2095"/>
      <c r="L40" s="2095"/>
      <c r="M40" s="2095"/>
      <c r="N40" s="2095"/>
      <c r="O40" s="2095"/>
      <c r="P40" s="2095"/>
      <c r="Q40" s="812" t="b">
        <f>IF(OR(O38&gt;=0.5,Q44=TRUE),TRUE,FALSE)</f>
        <v>0</v>
      </c>
      <c r="S40" s="425">
        <f>IF(AND(Q32=TRUE,Q40=TRUE),20,0)</f>
        <v>0</v>
      </c>
      <c r="T40" s="87"/>
      <c r="U40" s="6"/>
      <c r="V40" s="87"/>
      <c r="W40" s="87"/>
      <c r="AE40" s="6"/>
    </row>
    <row r="41" spans="4:31" s="689" customFormat="1" ht="6" customHeight="1" thickTop="1">
      <c r="S41" s="680"/>
      <c r="T41" s="87"/>
      <c r="U41" s="6"/>
      <c r="V41" s="87"/>
      <c r="W41" s="87"/>
      <c r="AE41" s="6"/>
    </row>
    <row r="42" spans="4:31" s="689" customFormat="1" ht="26.1" customHeight="1">
      <c r="D42" s="426" t="s">
        <v>64</v>
      </c>
      <c r="E42" s="2095" t="s">
        <v>1899</v>
      </c>
      <c r="F42" s="2095"/>
      <c r="G42" s="2095"/>
      <c r="H42" s="2095"/>
      <c r="I42" s="2095"/>
      <c r="J42" s="2095"/>
      <c r="K42" s="2095"/>
      <c r="L42" s="2095"/>
      <c r="M42" s="2095"/>
      <c r="N42" s="2095"/>
      <c r="O42" s="2095"/>
      <c r="P42" s="2095"/>
      <c r="Q42" s="2095"/>
      <c r="S42" s="680"/>
      <c r="T42" s="87"/>
      <c r="U42" s="6"/>
      <c r="V42" s="87"/>
      <c r="W42" s="87"/>
      <c r="AE42" s="6"/>
    </row>
    <row r="43" spans="4:31" s="689" customFormat="1" ht="6" customHeight="1" thickBot="1">
      <c r="S43" s="680"/>
      <c r="T43" s="87"/>
      <c r="U43" s="6"/>
      <c r="V43" s="87"/>
      <c r="W43" s="87"/>
      <c r="AE43" s="6"/>
    </row>
    <row r="44" spans="4:31" s="689" customFormat="1" ht="65.099999999999994" customHeight="1" thickBot="1">
      <c r="E44" s="1656" t="s">
        <v>1659</v>
      </c>
      <c r="F44" s="1656"/>
      <c r="G44" s="1656"/>
      <c r="H44" s="1656"/>
      <c r="I44" s="1656"/>
      <c r="J44" s="1656"/>
      <c r="K44" s="1656"/>
      <c r="L44" s="1656"/>
      <c r="M44" s="1656"/>
      <c r="N44" s="1656"/>
      <c r="O44" s="1656"/>
      <c r="P44" s="1656"/>
      <c r="Q44" s="679"/>
      <c r="S44" s="716">
        <f>+(V44*$S$9)+(W44*$S$11)</f>
        <v>0</v>
      </c>
      <c r="T44" s="87"/>
      <c r="U44" s="6"/>
      <c r="V44" s="425">
        <f>IF(Q44=TRUE,10,0)</f>
        <v>0</v>
      </c>
      <c r="W44" s="425">
        <v>0</v>
      </c>
      <c r="AE44" s="6"/>
    </row>
    <row r="45" spans="4:31" s="689" customFormat="1" ht="6" customHeight="1" thickTop="1">
      <c r="S45" s="680"/>
      <c r="T45" s="87"/>
      <c r="U45" s="6"/>
      <c r="V45" s="87"/>
      <c r="W45" s="87"/>
      <c r="AE45" s="6"/>
    </row>
    <row r="46" spans="4:31" s="1542" customFormat="1" ht="15" customHeight="1">
      <c r="D46" s="423" t="s">
        <v>67</v>
      </c>
      <c r="E46" s="2095" t="s">
        <v>2753</v>
      </c>
      <c r="F46" s="2095"/>
      <c r="G46" s="2095"/>
      <c r="H46" s="2095"/>
      <c r="I46" s="2095"/>
      <c r="J46" s="2095"/>
      <c r="K46" s="2095"/>
      <c r="L46" s="2095"/>
      <c r="M46" s="2095"/>
      <c r="N46" s="2095"/>
      <c r="O46" s="2095"/>
      <c r="P46" s="2095"/>
      <c r="Q46" s="2095"/>
      <c r="S46" s="1540"/>
      <c r="T46" s="1543"/>
      <c r="U46" s="6"/>
      <c r="V46" s="1543"/>
      <c r="W46" s="1543"/>
      <c r="AE46" s="6"/>
    </row>
    <row r="47" spans="4:31" s="1542" customFormat="1" ht="6" customHeight="1" thickBot="1">
      <c r="S47" s="1540"/>
      <c r="T47" s="1543"/>
      <c r="U47" s="6"/>
      <c r="V47" s="1543"/>
      <c r="W47" s="1543"/>
      <c r="AE47" s="6"/>
    </row>
    <row r="48" spans="4:31" s="1542" customFormat="1" ht="26.1" customHeight="1" thickBot="1">
      <c r="E48" s="713" t="s">
        <v>316</v>
      </c>
      <c r="F48" s="1656" t="s">
        <v>2754</v>
      </c>
      <c r="G48" s="1656"/>
      <c r="H48" s="1656"/>
      <c r="I48" s="1656"/>
      <c r="J48" s="1656"/>
      <c r="K48" s="1656"/>
      <c r="L48" s="1656"/>
      <c r="M48" s="1656"/>
      <c r="N48" s="1656"/>
      <c r="O48" s="1656"/>
      <c r="P48" s="1656"/>
      <c r="Q48" s="1541"/>
      <c r="S48" s="716">
        <f>+(V48*$S$9)+(W48*$S$11)</f>
        <v>0</v>
      </c>
      <c r="T48" s="2097" t="str">
        <f>IF(AND(Q48=TRUE,Q50=TRUE),"ERROR: CAN ONLY SELECT TRUE FOR C.1 OR C.2., NOT BOTH","")</f>
        <v/>
      </c>
      <c r="U48" s="6"/>
      <c r="V48" s="425">
        <f>IF(Q48=TRUE,10,0)</f>
        <v>0</v>
      </c>
      <c r="W48" s="425">
        <v>0</v>
      </c>
      <c r="X48" s="1570">
        <f>MAX(S48,S50)</f>
        <v>0</v>
      </c>
      <c r="Y48" s="1542" t="s">
        <v>2816</v>
      </c>
      <c r="AE48" s="6"/>
    </row>
    <row r="49" spans="4:31" s="1542" customFormat="1" ht="15" customHeight="1" thickTop="1" thickBot="1">
      <c r="F49" s="2096" t="s">
        <v>798</v>
      </c>
      <c r="G49" s="2096"/>
      <c r="H49" s="2096"/>
      <c r="I49" s="2096"/>
      <c r="J49" s="2096"/>
      <c r="K49" s="2096"/>
      <c r="L49" s="2096"/>
      <c r="M49" s="2096"/>
      <c r="N49" s="2096"/>
      <c r="O49" s="2096"/>
      <c r="P49" s="2096"/>
      <c r="Q49" s="2096"/>
      <c r="S49" s="1557" t="s">
        <v>798</v>
      </c>
      <c r="T49" s="2097"/>
      <c r="U49" s="6"/>
      <c r="V49" s="1543"/>
      <c r="W49" s="1543"/>
      <c r="AE49" s="6"/>
    </row>
    <row r="50" spans="4:31" s="1542" customFormat="1" ht="26.1" customHeight="1" thickBot="1">
      <c r="E50" s="713" t="s">
        <v>317</v>
      </c>
      <c r="F50" s="1656" t="s">
        <v>2755</v>
      </c>
      <c r="G50" s="1656"/>
      <c r="H50" s="1656"/>
      <c r="I50" s="1656"/>
      <c r="J50" s="1656"/>
      <c r="K50" s="1656"/>
      <c r="L50" s="1656"/>
      <c r="M50" s="1656"/>
      <c r="N50" s="1656"/>
      <c r="O50" s="1656"/>
      <c r="P50" s="1656"/>
      <c r="Q50" s="1541"/>
      <c r="S50" s="716">
        <f>+(V50*$S$9)+(W50*$S$11)</f>
        <v>0</v>
      </c>
      <c r="T50" s="2097"/>
      <c r="U50" s="6"/>
      <c r="V50" s="425">
        <f>IF(Q50=TRUE,5,0)</f>
        <v>0</v>
      </c>
      <c r="W50" s="425">
        <v>0</v>
      </c>
      <c r="AE50" s="6"/>
    </row>
    <row r="51" spans="4:31" s="1542" customFormat="1" ht="6" customHeight="1" thickTop="1">
      <c r="S51" s="1540"/>
      <c r="T51" s="1543"/>
      <c r="U51" s="6"/>
      <c r="V51" s="1543"/>
      <c r="W51" s="1543"/>
      <c r="AE51" s="6"/>
    </row>
    <row r="52" spans="4:31" s="689" customFormat="1" ht="15" customHeight="1">
      <c r="D52" s="85" t="s">
        <v>92</v>
      </c>
      <c r="E52" s="1603" t="s">
        <v>1661</v>
      </c>
      <c r="F52" s="1603"/>
      <c r="G52" s="1603"/>
      <c r="H52" s="1603"/>
      <c r="I52" s="1603"/>
      <c r="J52" s="1603"/>
      <c r="K52" s="1603"/>
      <c r="L52" s="1603"/>
      <c r="M52" s="1603"/>
      <c r="N52" s="1603"/>
      <c r="O52" s="1603"/>
      <c r="P52" s="1603"/>
      <c r="Q52" s="1603"/>
      <c r="S52" s="680"/>
      <c r="T52" s="87"/>
      <c r="U52" s="6"/>
      <c r="V52" s="87"/>
      <c r="W52" s="87"/>
      <c r="AE52" s="6"/>
    </row>
    <row r="53" spans="4:31" s="689" customFormat="1" ht="6" customHeight="1">
      <c r="S53" s="680"/>
      <c r="T53" s="87"/>
      <c r="U53" s="6"/>
      <c r="V53" s="87"/>
      <c r="W53" s="87"/>
      <c r="AE53" s="6"/>
    </row>
    <row r="54" spans="4:31" s="689" customFormat="1" ht="26.1" customHeight="1" thickBot="1">
      <c r="E54" s="713" t="s">
        <v>316</v>
      </c>
      <c r="F54" s="1656" t="s">
        <v>2756</v>
      </c>
      <c r="G54" s="1656"/>
      <c r="H54" s="1656"/>
      <c r="I54" s="1656"/>
      <c r="J54" s="1656"/>
      <c r="K54" s="1656"/>
      <c r="L54" s="1656"/>
      <c r="M54" s="1656"/>
      <c r="N54" s="1656"/>
      <c r="O54" s="1656"/>
      <c r="P54" s="1656"/>
      <c r="Q54" s="679"/>
      <c r="S54" s="680"/>
      <c r="T54" s="87"/>
      <c r="U54" s="6"/>
      <c r="V54" s="87"/>
      <c r="W54" s="87"/>
      <c r="AE54" s="6"/>
    </row>
    <row r="55" spans="4:31" s="689" customFormat="1" ht="6" customHeight="1" thickTop="1" thickBot="1">
      <c r="S55" s="680"/>
      <c r="T55" s="87"/>
      <c r="U55" s="6"/>
      <c r="V55" s="87"/>
      <c r="W55" s="87"/>
      <c r="AE55" s="6"/>
    </row>
    <row r="56" spans="4:31" s="689" customFormat="1" ht="15" customHeight="1" thickTop="1" thickBot="1">
      <c r="E56" s="85" t="s">
        <v>317</v>
      </c>
      <c r="F56" s="1603" t="s">
        <v>1662</v>
      </c>
      <c r="G56" s="1603"/>
      <c r="H56" s="1603"/>
      <c r="I56" s="1603"/>
      <c r="J56" s="1603"/>
      <c r="K56" s="1603"/>
      <c r="L56" s="1603"/>
      <c r="M56" s="1603"/>
      <c r="N56" s="2094"/>
      <c r="O56" s="715"/>
      <c r="S56" s="680"/>
      <c r="T56" s="87"/>
      <c r="U56" s="6"/>
      <c r="V56" s="87"/>
      <c r="W56" s="87"/>
      <c r="AE56" s="6"/>
    </row>
    <row r="57" spans="4:31" s="689" customFormat="1" ht="6" customHeight="1" thickTop="1" thickBot="1">
      <c r="S57" s="680"/>
      <c r="T57" s="87"/>
      <c r="U57" s="6"/>
      <c r="V57" s="87"/>
      <c r="W57" s="87"/>
      <c r="AE57" s="6"/>
    </row>
    <row r="58" spans="4:31" s="689" customFormat="1" ht="15" customHeight="1" thickTop="1" thickBot="1">
      <c r="E58" s="85" t="s">
        <v>318</v>
      </c>
      <c r="F58" s="1603" t="s">
        <v>1654</v>
      </c>
      <c r="G58" s="1603"/>
      <c r="H58" s="1603"/>
      <c r="I58" s="1603"/>
      <c r="J58" s="1603"/>
      <c r="K58" s="1603"/>
      <c r="L58" s="1603"/>
      <c r="M58" s="1603"/>
      <c r="N58" s="2094"/>
      <c r="O58" s="714">
        <f>+O36</f>
        <v>0</v>
      </c>
      <c r="S58" s="680"/>
      <c r="T58" s="87"/>
      <c r="U58" s="6"/>
      <c r="V58" s="87"/>
      <c r="W58" s="87"/>
      <c r="AE58" s="6"/>
    </row>
    <row r="59" spans="4:31" s="689" customFormat="1" ht="6" customHeight="1" thickTop="1" thickBot="1">
      <c r="S59" s="680"/>
      <c r="T59" s="87"/>
      <c r="U59" s="6"/>
      <c r="V59" s="87"/>
      <c r="W59" s="87"/>
      <c r="AE59" s="6"/>
    </row>
    <row r="60" spans="4:31" s="689" customFormat="1" ht="15" customHeight="1" thickTop="1" thickBot="1">
      <c r="E60" s="85" t="s">
        <v>1655</v>
      </c>
      <c r="F60" s="1603" t="s">
        <v>1663</v>
      </c>
      <c r="G60" s="1603"/>
      <c r="H60" s="1603"/>
      <c r="I60" s="1603"/>
      <c r="J60" s="1603"/>
      <c r="K60" s="1603"/>
      <c r="L60" s="1603"/>
      <c r="M60" s="1603"/>
      <c r="N60" s="2094"/>
      <c r="O60" s="434">
        <f>IF(ISERROR(+O56/O58),0,+O56/O58)</f>
        <v>0</v>
      </c>
      <c r="S60" s="680"/>
      <c r="T60" s="87"/>
      <c r="U60" s="6"/>
      <c r="V60" s="87"/>
      <c r="W60" s="87"/>
      <c r="AE60" s="6"/>
    </row>
    <row r="61" spans="4:31" s="689" customFormat="1" ht="6" customHeight="1" thickTop="1" thickBot="1">
      <c r="S61" s="680"/>
      <c r="T61" s="87"/>
      <c r="U61" s="6"/>
      <c r="V61" s="87"/>
      <c r="W61" s="87"/>
      <c r="AE61" s="6"/>
    </row>
    <row r="62" spans="4:31" s="804" customFormat="1" ht="15" customHeight="1" thickTop="1" thickBot="1">
      <c r="E62" s="85" t="s">
        <v>1657</v>
      </c>
      <c r="F62" s="2095" t="s">
        <v>1900</v>
      </c>
      <c r="G62" s="2095"/>
      <c r="H62" s="2095"/>
      <c r="I62" s="2095"/>
      <c r="J62" s="2095"/>
      <c r="K62" s="2095"/>
      <c r="L62" s="2095"/>
      <c r="M62" s="2095"/>
      <c r="N62" s="2095"/>
      <c r="O62" s="2095"/>
      <c r="P62" s="2102"/>
      <c r="Q62" s="254" t="b">
        <f>IF(O60&gt;=0.5,TRUE,FALSE)</f>
        <v>0</v>
      </c>
      <c r="S62" s="425">
        <f>IF(AND(Q54=TRUE,Q62=TRUE),25,0)</f>
        <v>0</v>
      </c>
      <c r="T62" s="87"/>
      <c r="U62" s="318"/>
      <c r="V62" s="87"/>
      <c r="W62" s="87"/>
      <c r="AE62" s="318"/>
    </row>
    <row r="63" spans="4:31" ht="13.5" thickTop="1"/>
    <row r="65" spans="1:27">
      <c r="A65" s="1736"/>
      <c r="B65" s="1736"/>
      <c r="C65" s="1736"/>
      <c r="D65" s="1736"/>
      <c r="E65" s="1736"/>
      <c r="F65" s="1736"/>
      <c r="G65" s="1736"/>
      <c r="H65" s="1736"/>
      <c r="I65" s="1736"/>
    </row>
    <row r="79" spans="1:27">
      <c r="X79" s="39"/>
      <c r="Y79" s="39"/>
      <c r="Z79" s="39"/>
      <c r="AA79" s="39"/>
    </row>
    <row r="80" spans="1:27">
      <c r="X80" s="39"/>
      <c r="Y80" s="39"/>
      <c r="Z80" s="39"/>
      <c r="AA80" s="39"/>
    </row>
    <row r="81" spans="24:30">
      <c r="X81" s="710"/>
      <c r="Y81" s="711"/>
      <c r="Z81" s="710"/>
      <c r="AA81" s="711"/>
      <c r="AB81" s="87"/>
      <c r="AC81" s="87"/>
      <c r="AD81" s="87"/>
    </row>
    <row r="82" spans="24:30">
      <c r="X82" s="87"/>
      <c r="Y82" s="87"/>
      <c r="Z82" s="87"/>
      <c r="AA82" s="87"/>
      <c r="AB82" s="712"/>
      <c r="AC82" s="87"/>
    </row>
    <row r="83" spans="24:30">
      <c r="X83" s="87"/>
      <c r="Y83" s="87"/>
      <c r="Z83" s="87"/>
      <c r="AA83" s="87"/>
      <c r="AB83" s="712"/>
      <c r="AC83" s="87"/>
    </row>
    <row r="84" spans="24:30">
      <c r="X84" s="87"/>
      <c r="Y84" s="87"/>
      <c r="Z84" s="87"/>
      <c r="AA84" s="87"/>
      <c r="AB84" s="712"/>
      <c r="AC84" s="87"/>
    </row>
    <row r="85" spans="24:30">
      <c r="X85" s="87"/>
      <c r="Y85" s="87"/>
      <c r="Z85" s="87"/>
      <c r="AA85" s="87"/>
      <c r="AB85" s="678"/>
      <c r="AC85" s="87"/>
    </row>
    <row r="89" spans="24:30">
      <c r="Y89" s="1222"/>
    </row>
    <row r="90" spans="24:30">
      <c r="Y90" s="1222"/>
    </row>
    <row r="91" spans="24:30">
      <c r="Y91" s="1222"/>
    </row>
    <row r="92" spans="24:30">
      <c r="Y92" s="1222"/>
    </row>
    <row r="93" spans="24:30">
      <c r="Y93" s="1222"/>
    </row>
    <row r="94" spans="24:30">
      <c r="Y94" s="1222"/>
    </row>
    <row r="95" spans="24:30">
      <c r="Y95" s="1222"/>
    </row>
    <row r="96" spans="24:30">
      <c r="Y96" s="1222"/>
    </row>
    <row r="97" spans="25:25">
      <c r="Y97" s="1222"/>
    </row>
    <row r="98" spans="25:25">
      <c r="Y98" s="1222"/>
    </row>
    <row r="99" spans="25:25">
      <c r="Y99" s="1222"/>
    </row>
    <row r="100" spans="25:25">
      <c r="Y100" s="1222"/>
    </row>
  </sheetData>
  <sheetProtection algorithmName="SHA-512" hashValue="fE8nClmGKLYZ/3DbGMFOTXKrDqMyrUwc4T2tUxp4RliKUk3QW5mXT9kRnTYpK8K07JbAk4RLHnSkdBQhK6T6EA==" saltValue="gawzNenQxCe9bcS6XvaLjA==" spinCount="100000" sheet="1" objects="1" scenarios="1"/>
  <mergeCells count="38">
    <mergeCell ref="A65:I65"/>
    <mergeCell ref="B3:Q3"/>
    <mergeCell ref="C15:Q15"/>
    <mergeCell ref="B5:Q5"/>
    <mergeCell ref="D17:Q17"/>
    <mergeCell ref="N21:Q21"/>
    <mergeCell ref="N22:Q22"/>
    <mergeCell ref="B7:Q7"/>
    <mergeCell ref="B11:P11"/>
    <mergeCell ref="B9:P9"/>
    <mergeCell ref="B13:P13"/>
    <mergeCell ref="E52:Q52"/>
    <mergeCell ref="F60:N60"/>
    <mergeCell ref="F62:P62"/>
    <mergeCell ref="E42:Q42"/>
    <mergeCell ref="D24:Q24"/>
    <mergeCell ref="T48:T50"/>
    <mergeCell ref="R3:T6"/>
    <mergeCell ref="E44:P44"/>
    <mergeCell ref="F54:P54"/>
    <mergeCell ref="F56:N56"/>
    <mergeCell ref="D28:Q28"/>
    <mergeCell ref="E30:Q30"/>
    <mergeCell ref="F32:P32"/>
    <mergeCell ref="T7:T9"/>
    <mergeCell ref="D26:P26"/>
    <mergeCell ref="E19:Q19"/>
    <mergeCell ref="E21:L21"/>
    <mergeCell ref="E22:L22"/>
    <mergeCell ref="F58:N58"/>
    <mergeCell ref="F34:N34"/>
    <mergeCell ref="F36:N36"/>
    <mergeCell ref="F38:N38"/>
    <mergeCell ref="F40:P40"/>
    <mergeCell ref="E46:Q46"/>
    <mergeCell ref="F48:P48"/>
    <mergeCell ref="F49:Q49"/>
    <mergeCell ref="F50:P50"/>
  </mergeCells>
  <dataValidations count="4">
    <dataValidation type="list" allowBlank="1" showInputMessage="1" showErrorMessage="1" sqref="Q32 Q44 Q54 Q48 Q50" xr:uid="{00000000-0002-0000-1900-000000000000}">
      <formula1>$Y$3:$Y$4</formula1>
    </dataValidation>
    <dataValidation type="list" allowBlank="1" showInputMessage="1" showErrorMessage="1" sqref="E22" xr:uid="{00000000-0002-0000-1900-000001000000}">
      <formula1>$AA$3:$AA$6</formula1>
    </dataValidation>
    <dataValidation type="list" allowBlank="1" showInputMessage="1" showErrorMessage="1" sqref="Q26" xr:uid="{00000000-0002-0000-1900-000002000000}">
      <formula1>$X$3:$X$6</formula1>
    </dataValidation>
    <dataValidation type="list" errorStyle="warning" showInputMessage="1" showErrorMessage="1" errorTitle="SmartDox" error="The value you entered for the dropdown is not valid." sqref="Y22" xr:uid="{242D40AB-B71D-4AC2-B34F-415ABC8F4AB9}">
      <formula1>SD_D_PL_BldgAllocType_Name</formula1>
    </dataValidation>
  </dataValidations>
  <pageMargins left="0.75" right="0.5" top="0.5" bottom="0.75" header="0" footer="0.5"/>
  <pageSetup scale="80" firstPageNumber="3" orientation="portrait" r:id="rId1"/>
  <headerFooter alignWithMargins="0">
    <oddFooter>&amp;C&amp;A&amp;R&amp;D &amp;T</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3">
    <pageSetUpPr fitToPage="1"/>
  </sheetPr>
  <dimension ref="A1:T39"/>
  <sheetViews>
    <sheetView workbookViewId="0"/>
  </sheetViews>
  <sheetFormatPr defaultColWidth="10.7109375" defaultRowHeight="12.75"/>
  <cols>
    <col min="1" max="1" width="5.7109375" style="12" bestFit="1" customWidth="1"/>
    <col min="2" max="2" width="2.7109375" style="4" customWidth="1"/>
    <col min="3" max="3" width="3.42578125" style="4" bestFit="1" customWidth="1"/>
    <col min="4" max="4" width="2.7109375" style="4" customWidth="1"/>
    <col min="5" max="5" width="4.7109375" style="4" customWidth="1"/>
    <col min="6" max="8" width="6.7109375" style="4" customWidth="1"/>
    <col min="9" max="9" width="22.7109375" style="108" customWidth="1"/>
    <col min="10" max="10" width="40.7109375" style="108" customWidth="1"/>
    <col min="11" max="11" width="1.7109375" style="108" customWidth="1"/>
    <col min="12" max="12" width="12.7109375" style="4" customWidth="1"/>
    <col min="13" max="13" width="10.7109375" style="4" customWidth="1"/>
    <col min="14" max="14" width="5.7109375" style="6" customWidth="1"/>
    <col min="15" max="15" width="10.7109375" style="4" hidden="1" customWidth="1"/>
    <col min="16" max="16" width="22.140625" style="4" hidden="1" customWidth="1"/>
    <col min="17" max="17" width="5.7109375" style="6" customWidth="1"/>
    <col min="18" max="16384" width="10.7109375" style="4"/>
  </cols>
  <sheetData>
    <row r="1" spans="1:20" s="814" customFormat="1">
      <c r="A1" s="1302" t="str">
        <f>IF('FORM 1040-1'!D15="","",'FORM 1040-1'!D15)</f>
        <v/>
      </c>
      <c r="B1" s="1303"/>
      <c r="C1" s="1303"/>
      <c r="D1" s="1303"/>
      <c r="E1" s="1303"/>
      <c r="F1" s="1303"/>
      <c r="G1" s="1303"/>
      <c r="H1" s="1303"/>
      <c r="I1" s="1309"/>
      <c r="J1" s="1309"/>
      <c r="K1" s="1309"/>
      <c r="L1" s="1294" t="str">
        <f>IF('FORM 1040-1'!$E$12="","",'FORM 1040-1'!$E$12)</f>
        <v/>
      </c>
      <c r="N1" s="6"/>
      <c r="Q1" s="6"/>
    </row>
    <row r="2" spans="1:20" s="814" customFormat="1" ht="12.75" customHeight="1">
      <c r="A2" s="801"/>
      <c r="I2" s="108"/>
      <c r="J2" s="108"/>
      <c r="K2" s="108"/>
      <c r="N2" s="6"/>
      <c r="Q2" s="6"/>
    </row>
    <row r="3" spans="1:20" ht="36" customHeight="1">
      <c r="A3" s="2103" t="s">
        <v>2310</v>
      </c>
      <c r="B3" s="2103"/>
      <c r="C3" s="2103"/>
      <c r="D3" s="2103"/>
      <c r="E3" s="2103"/>
      <c r="F3" s="2103"/>
      <c r="G3" s="2103"/>
      <c r="H3" s="2103"/>
      <c r="I3" s="2103"/>
      <c r="J3" s="2103"/>
      <c r="K3" s="2103"/>
      <c r="L3" s="2103"/>
      <c r="M3" s="103"/>
      <c r="N3" s="102"/>
      <c r="O3" s="103"/>
      <c r="P3" s="22" t="b">
        <v>1</v>
      </c>
      <c r="Q3" s="102"/>
      <c r="R3" s="103"/>
      <c r="S3" s="103"/>
      <c r="T3" s="103"/>
    </row>
    <row r="4" spans="1:20">
      <c r="P4" s="22" t="b">
        <v>0</v>
      </c>
    </row>
    <row r="5" spans="1:20" ht="15" customHeight="1">
      <c r="A5" s="12" t="s">
        <v>21</v>
      </c>
      <c r="B5" s="37" t="s">
        <v>53</v>
      </c>
      <c r="C5" s="423">
        <v>1</v>
      </c>
      <c r="D5" s="1593" t="s">
        <v>1664</v>
      </c>
      <c r="E5" s="1593"/>
      <c r="F5" s="1593"/>
      <c r="G5" s="1593"/>
      <c r="H5" s="1593"/>
      <c r="I5" s="1593"/>
      <c r="J5" s="1593"/>
      <c r="K5" s="1593"/>
      <c r="L5" s="1593"/>
      <c r="M5" s="37"/>
      <c r="N5" s="318"/>
      <c r="O5" s="37"/>
      <c r="P5" s="37"/>
      <c r="Q5" s="318"/>
    </row>
    <row r="6" spans="1:20" ht="15" customHeight="1">
      <c r="B6" s="202"/>
      <c r="C6" s="202"/>
      <c r="D6" s="202"/>
      <c r="E6" s="202"/>
      <c r="F6" s="202"/>
      <c r="G6" s="202"/>
      <c r="H6" s="202"/>
      <c r="I6" s="202"/>
      <c r="J6" s="202"/>
      <c r="K6" s="202"/>
      <c r="L6" s="202"/>
    </row>
    <row r="7" spans="1:20" ht="15" customHeight="1">
      <c r="D7" s="1694" t="s">
        <v>872</v>
      </c>
      <c r="E7" s="1694"/>
      <c r="F7" s="1694"/>
      <c r="G7" s="1694"/>
      <c r="H7" s="1694"/>
      <c r="I7" s="1694"/>
      <c r="J7" s="1694"/>
      <c r="K7" s="1694"/>
      <c r="L7" s="1694"/>
      <c r="O7" s="20" t="str">
        <f>IF(J9="","",(J9))</f>
        <v/>
      </c>
      <c r="P7" s="4" t="s">
        <v>970</v>
      </c>
    </row>
    <row r="8" spans="1:20" ht="12" customHeight="1">
      <c r="B8" s="12"/>
    </row>
    <row r="9" spans="1:20" ht="15" customHeight="1" thickBot="1">
      <c r="B9" s="12"/>
      <c r="C9" s="423"/>
      <c r="D9" s="85" t="s">
        <v>64</v>
      </c>
      <c r="E9" s="682" t="s">
        <v>873</v>
      </c>
      <c r="F9" s="682"/>
      <c r="G9" s="682"/>
      <c r="H9" s="682"/>
      <c r="I9" s="682"/>
      <c r="J9" s="1605"/>
      <c r="K9" s="1605"/>
      <c r="L9" s="1605"/>
      <c r="O9" s="852" t="str">
        <f>IF(O23=TRUE,"Owner","N/A")</f>
        <v>N/A</v>
      </c>
      <c r="P9" s="4" t="s">
        <v>874</v>
      </c>
    </row>
    <row r="10" spans="1:20" ht="12" customHeight="1" thickTop="1">
      <c r="B10" s="12"/>
      <c r="D10" s="689"/>
      <c r="E10" s="689"/>
      <c r="F10" s="689"/>
      <c r="G10" s="689"/>
      <c r="H10" s="689"/>
    </row>
    <row r="11" spans="1:20" ht="15" customHeight="1" thickBot="1">
      <c r="B11" s="12"/>
      <c r="C11" s="423"/>
      <c r="D11" s="85" t="s">
        <v>67</v>
      </c>
      <c r="E11" s="682" t="s">
        <v>879</v>
      </c>
      <c r="F11" s="682"/>
      <c r="G11" s="682"/>
      <c r="H11" s="682"/>
      <c r="I11" s="682"/>
      <c r="J11" s="1605"/>
      <c r="K11" s="1605"/>
      <c r="L11" s="1605"/>
      <c r="O11" s="20" t="str">
        <f>IF(J11="","",(J11))</f>
        <v/>
      </c>
      <c r="P11" s="4" t="s">
        <v>971</v>
      </c>
    </row>
    <row r="12" spans="1:20" ht="12" customHeight="1" thickTop="1">
      <c r="B12" s="12"/>
      <c r="J12" s="108" t="s">
        <v>880</v>
      </c>
    </row>
    <row r="13" spans="1:20" ht="6" customHeight="1">
      <c r="B13" s="12"/>
    </row>
    <row r="14" spans="1:20" ht="15" customHeight="1" thickBot="1">
      <c r="B14" s="12"/>
      <c r="C14" s="423"/>
      <c r="D14" s="37"/>
      <c r="E14" s="37"/>
      <c r="F14" s="37"/>
      <c r="G14" s="37"/>
      <c r="H14" s="37"/>
      <c r="I14" s="37"/>
      <c r="J14" s="1605"/>
      <c r="K14" s="1605"/>
      <c r="L14" s="1605"/>
      <c r="O14" s="20" t="str">
        <f>IF(J14="","",(J14))</f>
        <v/>
      </c>
      <c r="P14" s="4" t="s">
        <v>972</v>
      </c>
    </row>
    <row r="15" spans="1:20" ht="12" customHeight="1" thickTop="1">
      <c r="B15" s="12"/>
      <c r="J15" s="108" t="s">
        <v>876</v>
      </c>
    </row>
    <row r="16" spans="1:20" ht="6" customHeight="1">
      <c r="B16" s="12"/>
    </row>
    <row r="17" spans="2:16" ht="15" customHeight="1" thickBot="1">
      <c r="B17" s="12"/>
      <c r="C17" s="423"/>
      <c r="D17" s="37"/>
      <c r="E17" s="37"/>
      <c r="F17" s="37"/>
      <c r="G17" s="37"/>
      <c r="H17" s="37"/>
      <c r="I17" s="37"/>
      <c r="J17" s="438"/>
      <c r="L17" s="13"/>
      <c r="O17" s="20" t="str">
        <f>IF(J17="","",(J17))</f>
        <v/>
      </c>
      <c r="P17" s="4" t="s">
        <v>973</v>
      </c>
    </row>
    <row r="18" spans="2:16" ht="12" customHeight="1" thickTop="1">
      <c r="B18" s="12"/>
      <c r="J18" s="108" t="s">
        <v>877</v>
      </c>
      <c r="L18" s="4" t="s">
        <v>878</v>
      </c>
      <c r="O18" s="852" t="str">
        <f>IF(L17="","",(L17))</f>
        <v/>
      </c>
      <c r="P18" s="4" t="s">
        <v>974</v>
      </c>
    </row>
    <row r="19" spans="2:16" ht="6" customHeight="1">
      <c r="B19" s="12"/>
    </row>
    <row r="20" spans="2:16" ht="15" customHeight="1" thickBot="1">
      <c r="B20" s="12"/>
      <c r="J20" s="1609"/>
      <c r="K20" s="1609"/>
      <c r="L20" s="1609"/>
      <c r="O20" s="20" t="str">
        <f>IF(J20="","",(J20))</f>
        <v/>
      </c>
      <c r="P20" s="4" t="s">
        <v>975</v>
      </c>
    </row>
    <row r="21" spans="2:16" ht="12" customHeight="1" thickTop="1">
      <c r="B21" s="12"/>
      <c r="J21" s="108" t="s">
        <v>2450</v>
      </c>
    </row>
    <row r="22" spans="2:16" ht="12" customHeight="1">
      <c r="B22" s="12"/>
    </row>
    <row r="23" spans="2:16" ht="15" customHeight="1" thickBot="1">
      <c r="C23" s="423"/>
      <c r="D23" s="85" t="s">
        <v>92</v>
      </c>
      <c r="E23" s="1593" t="s">
        <v>826</v>
      </c>
      <c r="F23" s="1593"/>
      <c r="G23" s="1593"/>
      <c r="H23" s="1593"/>
      <c r="I23" s="1593"/>
      <c r="J23" s="1593"/>
      <c r="K23" s="681"/>
      <c r="L23" s="438"/>
      <c r="O23" s="20" t="b">
        <f>IF(AND(L23=TRUE,L25=TRUE,L27=TRUE,L29=TRUE,L31&gt;=0.51,L33=TRUE,L35=TRUE,L37=TRUE),TRUE,FALSE)</f>
        <v>0</v>
      </c>
      <c r="P23" s="4" t="s">
        <v>870</v>
      </c>
    </row>
    <row r="24" spans="2:16" ht="12" customHeight="1" thickTop="1">
      <c r="C24" s="12"/>
      <c r="D24" s="689"/>
      <c r="E24" s="689"/>
      <c r="F24" s="689"/>
      <c r="G24" s="689"/>
      <c r="H24" s="108"/>
      <c r="I24" s="689"/>
      <c r="J24" s="689"/>
      <c r="K24" s="689"/>
    </row>
    <row r="25" spans="2:16" ht="15" customHeight="1" thickBot="1">
      <c r="C25" s="423"/>
      <c r="D25" s="85" t="s">
        <v>93</v>
      </c>
      <c r="E25" s="1593" t="s">
        <v>2215</v>
      </c>
      <c r="F25" s="1593"/>
      <c r="G25" s="1593"/>
      <c r="H25" s="1593"/>
      <c r="I25" s="1593"/>
      <c r="J25" s="1593"/>
      <c r="K25" s="681"/>
      <c r="L25" s="438"/>
      <c r="O25" s="20" t="b">
        <f>+O23</f>
        <v>0</v>
      </c>
      <c r="P25" s="4" t="s">
        <v>871</v>
      </c>
    </row>
    <row r="26" spans="2:16" ht="12" customHeight="1" thickTop="1">
      <c r="C26" s="12"/>
      <c r="D26" s="689"/>
      <c r="E26" s="689"/>
      <c r="F26" s="689"/>
      <c r="G26" s="689"/>
      <c r="H26" s="108"/>
      <c r="I26" s="689"/>
      <c r="J26" s="689"/>
      <c r="K26" s="689"/>
    </row>
    <row r="27" spans="2:16" ht="15" customHeight="1" thickBot="1">
      <c r="C27" s="423"/>
      <c r="D27" s="85" t="s">
        <v>281</v>
      </c>
      <c r="E27" s="1593" t="s">
        <v>827</v>
      </c>
      <c r="F27" s="1593"/>
      <c r="G27" s="1593"/>
      <c r="H27" s="1593"/>
      <c r="I27" s="1593"/>
      <c r="J27" s="1593"/>
      <c r="K27" s="681"/>
      <c r="L27" s="438"/>
    </row>
    <row r="28" spans="2:16" ht="12" customHeight="1" thickTop="1">
      <c r="C28" s="12"/>
      <c r="D28" s="689"/>
      <c r="E28" s="689"/>
      <c r="F28" s="689"/>
      <c r="G28" s="689"/>
      <c r="H28" s="108"/>
      <c r="I28" s="689"/>
      <c r="J28" s="689"/>
      <c r="K28" s="689"/>
    </row>
    <row r="29" spans="2:16" ht="26.1" customHeight="1" thickBot="1">
      <c r="C29" s="426"/>
      <c r="D29" s="206" t="s">
        <v>282</v>
      </c>
      <c r="E29" s="1656" t="s">
        <v>2239</v>
      </c>
      <c r="F29" s="1656"/>
      <c r="G29" s="1656"/>
      <c r="H29" s="1656"/>
      <c r="I29" s="1656"/>
      <c r="J29" s="1656"/>
      <c r="K29" s="677"/>
      <c r="L29" s="438"/>
    </row>
    <row r="30" spans="2:16" ht="12" customHeight="1" thickTop="1" thickBot="1">
      <c r="C30" s="12"/>
      <c r="D30" s="689"/>
      <c r="E30" s="689"/>
      <c r="F30" s="689"/>
      <c r="G30" s="689"/>
      <c r="H30" s="108"/>
      <c r="I30" s="689"/>
      <c r="J30" s="689"/>
      <c r="K30" s="689"/>
    </row>
    <row r="31" spans="2:16" ht="15" customHeight="1" thickTop="1" thickBot="1">
      <c r="C31" s="12"/>
      <c r="E31" s="1593" t="s">
        <v>2240</v>
      </c>
      <c r="F31" s="1593"/>
      <c r="G31" s="1593"/>
      <c r="H31" s="1593"/>
      <c r="I31" s="1593"/>
      <c r="J31" s="1593"/>
      <c r="K31" s="681"/>
      <c r="L31" s="439"/>
      <c r="O31" s="440" t="str">
        <f>IF(L31="","",(L31))</f>
        <v/>
      </c>
      <c r="P31" s="4" t="s">
        <v>969</v>
      </c>
    </row>
    <row r="32" spans="2:16" ht="12" customHeight="1" thickTop="1">
      <c r="C32" s="12"/>
      <c r="D32" s="689"/>
      <c r="E32" s="689"/>
      <c r="F32" s="689"/>
      <c r="G32" s="689"/>
      <c r="H32" s="108"/>
      <c r="I32" s="689"/>
      <c r="J32" s="689"/>
      <c r="K32" s="689"/>
    </row>
    <row r="33" spans="2:12" ht="39" customHeight="1" thickBot="1">
      <c r="C33" s="426"/>
      <c r="D33" s="206" t="s">
        <v>290</v>
      </c>
      <c r="E33" s="1656" t="s">
        <v>2218</v>
      </c>
      <c r="F33" s="1656"/>
      <c r="G33" s="1656"/>
      <c r="H33" s="1656"/>
      <c r="I33" s="1656"/>
      <c r="J33" s="1656"/>
      <c r="K33" s="677"/>
      <c r="L33" s="438"/>
    </row>
    <row r="34" spans="2:12" ht="12.95" customHeight="1" thickTop="1">
      <c r="C34" s="12"/>
      <c r="D34" s="689"/>
      <c r="E34" s="689"/>
      <c r="F34" s="689"/>
      <c r="G34" s="689"/>
      <c r="H34" s="108"/>
      <c r="I34" s="689"/>
      <c r="J34" s="689"/>
      <c r="K34" s="689"/>
    </row>
    <row r="35" spans="2:12" ht="15" customHeight="1" thickBot="1">
      <c r="C35" s="423"/>
      <c r="D35" s="85" t="s">
        <v>293</v>
      </c>
      <c r="E35" s="1593" t="s">
        <v>828</v>
      </c>
      <c r="F35" s="1593"/>
      <c r="G35" s="1593"/>
      <c r="H35" s="1593"/>
      <c r="I35" s="1593"/>
      <c r="J35" s="1593"/>
      <c r="K35" s="681"/>
      <c r="L35" s="438"/>
    </row>
    <row r="36" spans="2:12" ht="12.95" customHeight="1" thickTop="1">
      <c r="C36" s="12"/>
      <c r="D36" s="689"/>
      <c r="E36" s="689"/>
      <c r="F36" s="689"/>
      <c r="G36" s="689"/>
      <c r="H36" s="108"/>
      <c r="I36" s="689"/>
      <c r="J36" s="689"/>
      <c r="K36" s="689"/>
    </row>
    <row r="37" spans="2:12" ht="15" customHeight="1" thickBot="1">
      <c r="C37" s="426"/>
      <c r="D37" s="85" t="s">
        <v>564</v>
      </c>
      <c r="E37" s="1656" t="s">
        <v>1665</v>
      </c>
      <c r="F37" s="1656"/>
      <c r="G37" s="1656"/>
      <c r="H37" s="1656"/>
      <c r="I37" s="1656"/>
      <c r="J37" s="1656"/>
      <c r="K37" s="688"/>
      <c r="L37" s="438"/>
    </row>
    <row r="38" spans="2:12" ht="13.5" thickTop="1"/>
    <row r="39" spans="2:12" ht="26.1" customHeight="1">
      <c r="B39" s="1736" t="s">
        <v>2059</v>
      </c>
      <c r="C39" s="1736"/>
      <c r="D39" s="1736"/>
      <c r="E39" s="1736"/>
      <c r="F39" s="1736"/>
      <c r="G39" s="1736"/>
      <c r="H39" s="1736"/>
      <c r="I39" s="1736"/>
      <c r="J39" s="1736"/>
      <c r="K39" s="1736"/>
      <c r="L39" s="1736"/>
    </row>
  </sheetData>
  <sheetProtection algorithmName="SHA-512" hashValue="9B8+27A2rIky6wpdVW7GzA/hzEXoHu4M8KB3VJzJNtMzPpTaS65XtTUWxywGoLIKCo4VdASku3McE3o/2B+6bw==" saltValue="wUDkaZZ86F/MoHeFxWFQqQ==" spinCount="100000" sheet="1" objects="1" scenarios="1"/>
  <mergeCells count="16">
    <mergeCell ref="B39:L39"/>
    <mergeCell ref="J14:L14"/>
    <mergeCell ref="J20:L20"/>
    <mergeCell ref="E23:J23"/>
    <mergeCell ref="E25:J25"/>
    <mergeCell ref="E27:J27"/>
    <mergeCell ref="E29:J29"/>
    <mergeCell ref="E31:J31"/>
    <mergeCell ref="E33:J33"/>
    <mergeCell ref="E35:J35"/>
    <mergeCell ref="E37:J37"/>
    <mergeCell ref="A3:L3"/>
    <mergeCell ref="J9:L9"/>
    <mergeCell ref="J11:L11"/>
    <mergeCell ref="D5:L5"/>
    <mergeCell ref="D7:L7"/>
  </mergeCells>
  <dataValidations count="4">
    <dataValidation type="list" errorStyle="warning" showInputMessage="1" showErrorMessage="1" errorTitle="SmartDox" error="The value you entered for the dropdown is not valid." sqref="L17 O18" xr:uid="{00000000-0002-0000-1A00-000000000000}">
      <formula1>SD_D_PL_State_Name</formula1>
    </dataValidation>
    <dataValidation type="list" allowBlank="1" showInputMessage="1" showErrorMessage="1" sqref="L27 L29 L23 L33 L25 L35 L37" xr:uid="{00000000-0002-0000-1A00-000001000000}">
      <formula1>$P$3:$P$4</formula1>
    </dataValidation>
    <dataValidation type="textLength" allowBlank="1" showInputMessage="1" showErrorMessage="1" error="Only enter 10-digit number, no dashes or spaces." sqref="J20:L20" xr:uid="{00000000-0002-0000-1A00-000002000000}">
      <formula1>10</formula1>
      <formula2>10</formula2>
    </dataValidation>
    <dataValidation type="list" errorStyle="warning" showInputMessage="1" showErrorMessage="1" errorTitle="SmartDox" error="The value you entered for the dropdown is not valid." sqref="O9" xr:uid="{4C276FBB-FAE7-4ACB-BA0C-CC6774A3FB17}">
      <formula1>SD_D_PL_NonProfitType_Name</formula1>
    </dataValidation>
  </dataValidations>
  <pageMargins left="0.75" right="0.5" top="0.5" bottom="0.75" header="0" footer="0.5"/>
  <pageSetup scale="80" firstPageNumber="2" orientation="portrait" r:id="rId1"/>
  <headerFooter alignWithMargins="0">
    <oddFooter>&amp;C&amp;A&amp;R&amp;D &amp;T</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2">
    <pageSetUpPr fitToPage="1"/>
  </sheetPr>
  <dimension ref="A1:AW53"/>
  <sheetViews>
    <sheetView workbookViewId="0"/>
  </sheetViews>
  <sheetFormatPr defaultColWidth="10.7109375" defaultRowHeight="12.75"/>
  <cols>
    <col min="1" max="1" width="4.7109375" style="689" customWidth="1"/>
    <col min="2" max="5" width="2.7109375" style="689" customWidth="1"/>
    <col min="6" max="7" width="4.7109375" style="689" customWidth="1"/>
    <col min="8" max="8" width="2.7109375" style="689" customWidth="1"/>
    <col min="9" max="9" width="4.7109375" style="689" customWidth="1"/>
    <col min="10" max="10" width="2.7109375" style="689" customWidth="1"/>
    <col min="11" max="11" width="6.7109375" style="689" customWidth="1"/>
    <col min="12" max="12" width="7.7109375" style="689" customWidth="1"/>
    <col min="13" max="13" width="11.7109375" style="689" customWidth="1"/>
    <col min="14" max="14" width="12.7109375" style="689" customWidth="1"/>
    <col min="15" max="15" width="18.7109375" style="689" customWidth="1"/>
    <col min="16" max="16" width="11.7109375" style="689" customWidth="1"/>
    <col min="17" max="17" width="12.7109375" style="689" customWidth="1"/>
    <col min="18" max="18" width="10.7109375" style="689" customWidth="1"/>
    <col min="19" max="19" width="10.7109375" style="680" customWidth="1"/>
    <col min="20" max="20" width="15.7109375" style="87" customWidth="1"/>
    <col min="21" max="21" width="5.7109375" style="6" customWidth="1"/>
    <col min="22" max="23" width="10.7109375" style="87" hidden="1" customWidth="1"/>
    <col min="24" max="24" width="10.7109375" style="689" hidden="1" customWidth="1"/>
    <col min="25" max="25" width="10.7109375" style="814" hidden="1" customWidth="1"/>
    <col min="26" max="26" width="5.7109375" style="6" customWidth="1"/>
    <col min="27" max="16384" width="10.7109375" style="689"/>
  </cols>
  <sheetData>
    <row r="1" spans="1:26" s="814" customFormat="1">
      <c r="A1" s="1302" t="str">
        <f>IF('FORM 1040-1'!D15="","",'FORM 1040-1'!D15)</f>
        <v/>
      </c>
      <c r="B1" s="1303"/>
      <c r="C1" s="1303"/>
      <c r="D1" s="1303"/>
      <c r="E1" s="1303"/>
      <c r="F1" s="1303"/>
      <c r="G1" s="1303"/>
      <c r="H1" s="1303"/>
      <c r="I1" s="1303"/>
      <c r="J1" s="1303"/>
      <c r="K1" s="1303"/>
      <c r="L1" s="1303"/>
      <c r="M1" s="1303"/>
      <c r="N1" s="1303"/>
      <c r="O1" s="1303"/>
      <c r="P1" s="1303"/>
      <c r="Q1" s="1294" t="str">
        <f>IF('FORM 1040-1'!$E$12="","",'FORM 1040-1'!$E$12)</f>
        <v/>
      </c>
      <c r="R1" s="2072" t="s">
        <v>1621</v>
      </c>
      <c r="S1" s="2072"/>
      <c r="T1" s="2072"/>
      <c r="U1" s="6"/>
      <c r="V1" s="87"/>
      <c r="W1" s="87"/>
      <c r="Z1" s="6"/>
    </row>
    <row r="2" spans="1:26" s="814" customFormat="1" ht="12.75" customHeight="1">
      <c r="R2" s="2072"/>
      <c r="S2" s="2072"/>
      <c r="T2" s="2072"/>
      <c r="U2" s="6"/>
      <c r="V2" s="87"/>
      <c r="W2" s="87"/>
      <c r="Z2" s="6"/>
    </row>
    <row r="3" spans="1:26" ht="26.1" customHeight="1">
      <c r="A3" s="81" t="s">
        <v>21</v>
      </c>
      <c r="B3" s="206" t="s">
        <v>53</v>
      </c>
      <c r="C3" s="426">
        <v>4</v>
      </c>
      <c r="D3" s="1656" t="s">
        <v>1901</v>
      </c>
      <c r="E3" s="1656"/>
      <c r="F3" s="1656"/>
      <c r="G3" s="1656"/>
      <c r="H3" s="1656"/>
      <c r="I3" s="1656"/>
      <c r="J3" s="1656"/>
      <c r="K3" s="1656"/>
      <c r="L3" s="1656"/>
      <c r="M3" s="1656"/>
      <c r="N3" s="1656"/>
      <c r="O3" s="1656"/>
      <c r="P3" s="1656"/>
      <c r="Q3" s="1656"/>
      <c r="R3" s="2072"/>
      <c r="S3" s="2072"/>
      <c r="T3" s="2072"/>
      <c r="V3" s="710" t="s">
        <v>1650</v>
      </c>
      <c r="W3" s="87" t="s">
        <v>764</v>
      </c>
      <c r="X3" s="22" t="b">
        <v>1</v>
      </c>
      <c r="Y3" s="22" t="b">
        <v>1</v>
      </c>
    </row>
    <row r="4" spans="1:26" ht="12" customHeight="1" thickBot="1">
      <c r="B4" s="85"/>
      <c r="S4" s="424" t="s">
        <v>795</v>
      </c>
      <c r="X4" s="22" t="b">
        <v>0</v>
      </c>
      <c r="Y4" s="22" t="b">
        <v>0</v>
      </c>
    </row>
    <row r="5" spans="1:26" s="704" customFormat="1" ht="26.1" customHeight="1" thickBot="1">
      <c r="D5" s="1656" t="s">
        <v>1666</v>
      </c>
      <c r="E5" s="1656"/>
      <c r="F5" s="1656"/>
      <c r="G5" s="1656"/>
      <c r="H5" s="1656"/>
      <c r="I5" s="1656"/>
      <c r="J5" s="1656"/>
      <c r="K5" s="1656"/>
      <c r="L5" s="1656"/>
      <c r="M5" s="1656"/>
      <c r="N5" s="1656"/>
      <c r="O5" s="1656"/>
      <c r="P5" s="1656"/>
      <c r="Q5" s="692"/>
      <c r="S5" s="716">
        <f>(V5*'FORM 1040-15'!S9)+(W5*'FORM 1040-15'!S11)</f>
        <v>0</v>
      </c>
      <c r="T5" s="87"/>
      <c r="U5" s="6"/>
      <c r="V5" s="864">
        <f>IF(Q5=TRUE,15,0)</f>
        <v>0</v>
      </c>
      <c r="W5" s="425">
        <v>0</v>
      </c>
      <c r="Y5" s="293" t="s">
        <v>312</v>
      </c>
      <c r="Z5" s="6"/>
    </row>
    <row r="6" spans="1:26" s="704" customFormat="1" ht="6" customHeight="1" thickTop="1">
      <c r="S6" s="694"/>
      <c r="T6" s="87"/>
      <c r="U6" s="6"/>
      <c r="V6" s="87"/>
      <c r="W6" s="87"/>
      <c r="Y6" s="814"/>
      <c r="Z6" s="6"/>
    </row>
    <row r="7" spans="1:26" ht="15" customHeight="1">
      <c r="C7" s="423">
        <v>5</v>
      </c>
      <c r="D7" s="1593" t="s">
        <v>1667</v>
      </c>
      <c r="E7" s="1593"/>
      <c r="F7" s="1593"/>
      <c r="G7" s="1593"/>
      <c r="H7" s="1593"/>
      <c r="I7" s="1593"/>
      <c r="J7" s="1593"/>
      <c r="K7" s="1593"/>
      <c r="L7" s="1593"/>
      <c r="M7" s="1593"/>
      <c r="N7" s="1593"/>
      <c r="O7" s="1593"/>
      <c r="P7" s="1593"/>
      <c r="Q7" s="1593"/>
      <c r="S7" s="689"/>
    </row>
    <row r="8" spans="1:26" ht="6" customHeight="1" thickBot="1">
      <c r="S8" s="689"/>
    </row>
    <row r="9" spans="1:26" ht="15" customHeight="1" thickTop="1" thickBot="1">
      <c r="D9" s="85" t="s">
        <v>63</v>
      </c>
      <c r="E9" s="1593" t="s">
        <v>2345</v>
      </c>
      <c r="F9" s="1593"/>
      <c r="G9" s="1593"/>
      <c r="H9" s="1593"/>
      <c r="I9" s="1593"/>
      <c r="J9" s="1593"/>
      <c r="K9" s="1593"/>
      <c r="L9" s="1593"/>
      <c r="M9" s="1593"/>
      <c r="N9" s="1593"/>
      <c r="O9" s="1593"/>
      <c r="P9" s="1593"/>
      <c r="Q9" s="686" t="str">
        <f>IF('FORM 1040-9'!N62="","",('FORM 1040-9'!N62))</f>
        <v/>
      </c>
      <c r="S9" s="689"/>
    </row>
    <row r="10" spans="1:26" ht="6" customHeight="1" thickTop="1" thickBot="1">
      <c r="S10" s="689"/>
    </row>
    <row r="11" spans="1:26" ht="15" customHeight="1" thickTop="1" thickBot="1">
      <c r="D11" s="85" t="s">
        <v>64</v>
      </c>
      <c r="E11" s="1593" t="s">
        <v>2346</v>
      </c>
      <c r="F11" s="1593"/>
      <c r="G11" s="1593"/>
      <c r="H11" s="1593"/>
      <c r="I11" s="1593"/>
      <c r="J11" s="1593"/>
      <c r="K11" s="1593"/>
      <c r="L11" s="1593"/>
      <c r="M11" s="1593"/>
      <c r="N11" s="1593"/>
      <c r="O11" s="1593"/>
      <c r="P11" s="1593"/>
      <c r="Q11" s="1161" t="str">
        <f>IF('FORM 1040-9'!N64="","",('FORM 1040-9'!N64))</f>
        <v/>
      </c>
      <c r="S11" s="425">
        <f>IF(Q11="",0,IF(Q11&lt;25%,0,IF(Q11&lt;50%,15,IF(Q11&lt;75%,20,IF(Q11&lt;100.01%,25)))))</f>
        <v>0</v>
      </c>
      <c r="T11" s="678"/>
    </row>
    <row r="12" spans="1:26" ht="6" customHeight="1" thickTop="1">
      <c r="S12" s="689"/>
    </row>
    <row r="13" spans="1:26" ht="15" customHeight="1">
      <c r="B13" s="85" t="s">
        <v>54</v>
      </c>
      <c r="C13" s="1593" t="s">
        <v>2847</v>
      </c>
      <c r="D13" s="1593"/>
      <c r="E13" s="1593"/>
      <c r="F13" s="1593"/>
      <c r="G13" s="1593"/>
      <c r="H13" s="1593"/>
      <c r="I13" s="1593"/>
      <c r="J13" s="1593"/>
      <c r="K13" s="1593"/>
      <c r="L13" s="1593"/>
      <c r="M13" s="1593"/>
      <c r="N13" s="1593"/>
      <c r="O13" s="1593"/>
      <c r="P13" s="1593"/>
      <c r="Q13" s="1593"/>
    </row>
    <row r="14" spans="1:26" ht="6" customHeight="1"/>
    <row r="15" spans="1:26" ht="15" customHeight="1">
      <c r="C15" s="423">
        <v>1</v>
      </c>
      <c r="D15" s="1593" t="s">
        <v>1668</v>
      </c>
      <c r="E15" s="1593"/>
      <c r="F15" s="1593"/>
      <c r="G15" s="1593"/>
      <c r="H15" s="1593"/>
      <c r="I15" s="1593"/>
      <c r="J15" s="1593"/>
      <c r="K15" s="1593"/>
      <c r="L15" s="1593"/>
      <c r="M15" s="1593"/>
      <c r="N15" s="1593"/>
      <c r="O15" s="1593"/>
      <c r="P15" s="1593"/>
      <c r="Q15" s="1593"/>
    </row>
    <row r="16" spans="1:26" ht="6" customHeight="1" thickBot="1">
      <c r="T16" s="436"/>
    </row>
    <row r="17" spans="1:20" ht="63.95" customHeight="1" thickBot="1">
      <c r="D17" s="1679" t="s">
        <v>2757</v>
      </c>
      <c r="E17" s="1679"/>
      <c r="F17" s="1679"/>
      <c r="G17" s="1679"/>
      <c r="H17" s="1679"/>
      <c r="I17" s="1679"/>
      <c r="J17" s="1679"/>
      <c r="K17" s="1679"/>
      <c r="L17" s="1679"/>
      <c r="M17" s="1679"/>
      <c r="N17" s="1679"/>
      <c r="O17" s="1679"/>
      <c r="P17" s="1679"/>
      <c r="Q17" s="679"/>
      <c r="S17" s="425">
        <f>IF(Q17=TRUE,25,0)</f>
        <v>0</v>
      </c>
      <c r="T17" s="437"/>
    </row>
    <row r="18" spans="1:20" ht="6" customHeight="1" thickTop="1"/>
    <row r="19" spans="1:20" ht="15" customHeight="1">
      <c r="C19" s="423">
        <v>2</v>
      </c>
      <c r="D19" s="1593" t="s">
        <v>2840</v>
      </c>
      <c r="E19" s="1593"/>
      <c r="F19" s="1593"/>
      <c r="G19" s="1593"/>
      <c r="H19" s="1593"/>
      <c r="I19" s="1593"/>
      <c r="J19" s="1593"/>
      <c r="K19" s="1593"/>
      <c r="L19" s="1593"/>
      <c r="M19" s="1593"/>
      <c r="N19" s="1593"/>
      <c r="O19" s="1593"/>
      <c r="P19" s="1593"/>
      <c r="Q19" s="1593"/>
    </row>
    <row r="20" spans="1:20" ht="6" customHeight="1" thickBot="1">
      <c r="T20" s="687"/>
    </row>
    <row r="21" spans="1:20" ht="53.1" customHeight="1" thickBot="1">
      <c r="D21" s="1656" t="s">
        <v>2750</v>
      </c>
      <c r="E21" s="1656"/>
      <c r="F21" s="1656"/>
      <c r="G21" s="1656"/>
      <c r="H21" s="1656"/>
      <c r="I21" s="1656"/>
      <c r="J21" s="1656"/>
      <c r="K21" s="1656"/>
      <c r="L21" s="1656"/>
      <c r="M21" s="1656"/>
      <c r="N21" s="1656"/>
      <c r="O21" s="1656"/>
      <c r="P21" s="1656"/>
      <c r="Q21" s="679"/>
      <c r="S21" s="425">
        <f>IF(Q21=TRUE,25,0)</f>
        <v>0</v>
      </c>
      <c r="T21" s="678"/>
    </row>
    <row r="22" spans="1:20" ht="6" customHeight="1" thickTop="1">
      <c r="S22" s="689"/>
    </row>
    <row r="23" spans="1:20">
      <c r="C23" s="423">
        <v>3</v>
      </c>
      <c r="D23" s="1593" t="s">
        <v>2758</v>
      </c>
      <c r="E23" s="1593"/>
      <c r="F23" s="1593"/>
      <c r="G23" s="1593"/>
      <c r="H23" s="1593"/>
      <c r="I23" s="1593"/>
      <c r="J23" s="1593"/>
      <c r="K23" s="1593"/>
      <c r="L23" s="1593"/>
      <c r="M23" s="1593"/>
      <c r="N23" s="1593"/>
      <c r="O23" s="1593"/>
      <c r="P23" s="1593"/>
      <c r="Q23" s="1593"/>
      <c r="R23" s="682"/>
      <c r="S23" s="682"/>
    </row>
    <row r="24" spans="1:20" ht="6" customHeight="1" thickBot="1"/>
    <row r="25" spans="1:20" ht="53.1" customHeight="1" thickTop="1" thickBot="1">
      <c r="D25" s="206" t="s">
        <v>63</v>
      </c>
      <c r="E25" s="1656" t="s">
        <v>2189</v>
      </c>
      <c r="F25" s="1656"/>
      <c r="G25" s="1656"/>
      <c r="H25" s="1656"/>
      <c r="I25" s="1656"/>
      <c r="J25" s="1656"/>
      <c r="K25" s="1656"/>
      <c r="L25" s="1656"/>
      <c r="M25" s="1656"/>
      <c r="N25" s="1656"/>
      <c r="O25" s="1656"/>
      <c r="P25" s="1656"/>
      <c r="Q25" s="204"/>
    </row>
    <row r="26" spans="1:20" ht="6" customHeight="1" thickTop="1" thickBot="1">
      <c r="E26" s="681"/>
      <c r="F26" s="681"/>
      <c r="G26" s="681"/>
      <c r="H26" s="681"/>
      <c r="I26" s="681"/>
      <c r="J26" s="681"/>
      <c r="K26" s="681"/>
      <c r="L26" s="684"/>
      <c r="M26" s="684"/>
      <c r="N26" s="684"/>
      <c r="O26" s="684"/>
      <c r="P26" s="685"/>
      <c r="Q26" s="681"/>
      <c r="R26" s="681"/>
      <c r="S26" s="681"/>
    </row>
    <row r="27" spans="1:20" ht="39" customHeight="1" thickBot="1">
      <c r="D27" s="206" t="s">
        <v>64</v>
      </c>
      <c r="E27" s="1656" t="s">
        <v>1669</v>
      </c>
      <c r="F27" s="1656"/>
      <c r="G27" s="1656"/>
      <c r="H27" s="1656"/>
      <c r="I27" s="1656"/>
      <c r="J27" s="1656"/>
      <c r="K27" s="1656"/>
      <c r="L27" s="1656"/>
      <c r="M27" s="1656"/>
      <c r="N27" s="1656"/>
      <c r="O27" s="1656"/>
      <c r="P27" s="1656"/>
      <c r="Q27" s="798"/>
      <c r="S27" s="425">
        <f>IF(Q25&lt;2,0,IF(AND(Q25=2,Q27=TRUE),10,IF(AND(Q25=3,Q27=TRUE),10,IF(AND(Q25=4,Q27=TRUE),15,IF(AND(Q25=5,Q27=TRUE),15,IF(AND(Q25=6,Q27=TRUE),20,IF(AND(Q25=7,Q27=TRUE),20,IF(AND(Q25&gt;7,Q27=TRUE),25,0))))))))</f>
        <v>0</v>
      </c>
    </row>
    <row r="28" spans="1:20" ht="6" customHeight="1" thickTop="1"/>
    <row r="29" spans="1:20">
      <c r="C29" s="132">
        <v>4</v>
      </c>
      <c r="D29" s="1694" t="s">
        <v>2759</v>
      </c>
      <c r="E29" s="1694"/>
      <c r="F29" s="1694"/>
      <c r="G29" s="1694"/>
      <c r="H29" s="1694"/>
      <c r="I29" s="1694"/>
      <c r="J29" s="1694"/>
      <c r="K29" s="1694"/>
      <c r="L29" s="1694"/>
      <c r="M29" s="1694"/>
      <c r="N29" s="1694"/>
      <c r="O29" s="1694"/>
      <c r="P29" s="1694"/>
      <c r="Q29" s="1694"/>
      <c r="R29" s="696"/>
    </row>
    <row r="30" spans="1:20" ht="6" customHeight="1"/>
    <row r="31" spans="1:20" ht="26.1" customHeight="1" thickBot="1">
      <c r="A31" s="704"/>
      <c r="B31" s="704"/>
      <c r="C31" s="704"/>
      <c r="D31" s="206" t="s">
        <v>63</v>
      </c>
      <c r="E31" s="2095" t="s">
        <v>2760</v>
      </c>
      <c r="F31" s="2095"/>
      <c r="G31" s="2095"/>
      <c r="H31" s="2095"/>
      <c r="I31" s="2095"/>
      <c r="J31" s="2095"/>
      <c r="K31" s="2095"/>
      <c r="L31" s="2095"/>
      <c r="M31" s="2095"/>
      <c r="N31" s="2095"/>
      <c r="O31" s="2095"/>
      <c r="P31" s="2095"/>
      <c r="Q31" s="707"/>
    </row>
    <row r="32" spans="1:20" ht="6" customHeight="1" thickTop="1">
      <c r="A32" s="704"/>
      <c r="B32" s="704"/>
      <c r="C32" s="704"/>
      <c r="D32" s="704"/>
      <c r="E32" s="704"/>
      <c r="F32" s="704"/>
      <c r="G32" s="704"/>
      <c r="H32" s="704"/>
      <c r="I32" s="704"/>
      <c r="J32" s="704"/>
      <c r="K32" s="704"/>
      <c r="L32" s="704"/>
      <c r="M32" s="704"/>
      <c r="N32" s="704"/>
      <c r="O32" s="704"/>
      <c r="P32" s="704"/>
      <c r="Q32" s="704"/>
    </row>
    <row r="33" spans="1:49" ht="26.1" customHeight="1" thickBot="1">
      <c r="A33" s="704"/>
      <c r="B33" s="704"/>
      <c r="C33" s="704"/>
      <c r="D33" s="206" t="s">
        <v>64</v>
      </c>
      <c r="E33" s="1656" t="s">
        <v>2761</v>
      </c>
      <c r="F33" s="1656"/>
      <c r="G33" s="1656"/>
      <c r="H33" s="1656"/>
      <c r="I33" s="1656"/>
      <c r="J33" s="1656"/>
      <c r="K33" s="1656"/>
      <c r="L33" s="1656"/>
      <c r="M33" s="1656"/>
      <c r="N33" s="1656"/>
      <c r="O33" s="1656"/>
      <c r="P33" s="1656"/>
      <c r="Q33" s="798"/>
      <c r="V33" s="87">
        <f>MIN(Q35*1,10)</f>
        <v>0</v>
      </c>
      <c r="W33" s="87">
        <f>MIN(Q35*2,20)</f>
        <v>0</v>
      </c>
    </row>
    <row r="34" spans="1:49" ht="6" customHeight="1" thickTop="1" thickBot="1">
      <c r="A34" s="704"/>
      <c r="B34" s="704"/>
      <c r="C34" s="704"/>
      <c r="D34" s="85"/>
      <c r="E34" s="693"/>
      <c r="F34" s="693"/>
      <c r="G34" s="693"/>
      <c r="H34" s="693"/>
      <c r="I34" s="693"/>
      <c r="J34" s="693"/>
      <c r="K34" s="693"/>
      <c r="L34" s="693"/>
      <c r="M34" s="693"/>
      <c r="N34" s="693"/>
      <c r="O34" s="693"/>
      <c r="P34" s="693"/>
      <c r="Q34" s="704"/>
    </row>
    <row r="35" spans="1:49" s="804" customFormat="1" ht="15" customHeight="1" thickTop="1" thickBot="1">
      <c r="D35" s="85" t="s">
        <v>67</v>
      </c>
      <c r="E35" s="1656" t="s">
        <v>2762</v>
      </c>
      <c r="F35" s="1656"/>
      <c r="G35" s="1656"/>
      <c r="H35" s="1656"/>
      <c r="I35" s="1656"/>
      <c r="J35" s="1656"/>
      <c r="K35" s="1656"/>
      <c r="L35" s="1656"/>
      <c r="M35" s="1656"/>
      <c r="N35" s="1656"/>
      <c r="O35" s="1656"/>
      <c r="P35" s="2105"/>
      <c r="Q35" s="204"/>
      <c r="S35" s="425">
        <f>IF(Q31=FALSE,0,IF(AND(Q31=TRUE,Q33&lt;&gt;TRUE),V33,IF(AND(Q31=TRUE,Q33=TRUE),W33,0)))</f>
        <v>0</v>
      </c>
      <c r="T35" s="87"/>
      <c r="U35" s="318"/>
      <c r="V35" s="87"/>
      <c r="W35" s="87"/>
      <c r="Z35" s="318"/>
    </row>
    <row r="36" spans="1:49" ht="6" customHeight="1" thickTop="1">
      <c r="A36" s="704"/>
      <c r="B36" s="704"/>
      <c r="C36" s="704"/>
      <c r="D36" s="704"/>
      <c r="E36" s="704"/>
      <c r="F36" s="704"/>
      <c r="G36" s="704"/>
      <c r="H36" s="704"/>
      <c r="I36" s="704"/>
      <c r="J36" s="704"/>
      <c r="K36" s="704"/>
      <c r="L36" s="704"/>
      <c r="M36" s="704"/>
      <c r="N36" s="704"/>
      <c r="O36" s="704"/>
      <c r="P36" s="704"/>
      <c r="Q36" s="704"/>
      <c r="R36" s="704"/>
    </row>
    <row r="37" spans="1:49">
      <c r="C37" s="132">
        <v>5</v>
      </c>
      <c r="D37" s="1593" t="s">
        <v>1670</v>
      </c>
      <c r="E37" s="1593"/>
      <c r="F37" s="1593"/>
      <c r="G37" s="1593"/>
      <c r="H37" s="1593"/>
      <c r="I37" s="1593"/>
      <c r="J37" s="1593"/>
      <c r="K37" s="1593"/>
      <c r="L37" s="1593"/>
      <c r="M37" s="1593"/>
      <c r="N37" s="1593"/>
      <c r="O37" s="1593"/>
      <c r="P37" s="1593"/>
      <c r="Q37" s="1593"/>
    </row>
    <row r="38" spans="1:49" ht="6" customHeight="1" thickBot="1"/>
    <row r="39" spans="1:49" s="704" customFormat="1" ht="53.1" customHeight="1" thickBot="1">
      <c r="D39" s="206" t="s">
        <v>63</v>
      </c>
      <c r="E39" s="1961" t="s">
        <v>2888</v>
      </c>
      <c r="F39" s="1961"/>
      <c r="G39" s="1961"/>
      <c r="H39" s="1961"/>
      <c r="I39" s="1961"/>
      <c r="J39" s="1961"/>
      <c r="K39" s="1961"/>
      <c r="L39" s="1961"/>
      <c r="M39" s="1961"/>
      <c r="N39" s="1961"/>
      <c r="O39" s="1961"/>
      <c r="P39" s="1961"/>
      <c r="Q39" s="816"/>
      <c r="R39" s="706"/>
      <c r="S39" s="425">
        <f>IF(Q39=TRUE,25,0)</f>
        <v>0</v>
      </c>
      <c r="T39" s="699"/>
      <c r="U39" s="446"/>
      <c r="V39" s="706"/>
      <c r="W39" s="706"/>
      <c r="Y39" s="814"/>
      <c r="Z39" s="6"/>
    </row>
    <row r="40" spans="1:49" s="704" customFormat="1" ht="6" customHeight="1" thickTop="1">
      <c r="E40" s="699"/>
      <c r="F40" s="699"/>
      <c r="G40" s="694"/>
      <c r="H40" s="699"/>
      <c r="I40" s="694"/>
      <c r="J40" s="699"/>
      <c r="K40" s="690"/>
      <c r="L40" s="690"/>
      <c r="M40" s="690"/>
      <c r="N40" s="690"/>
      <c r="O40" s="690"/>
      <c r="P40" s="690"/>
      <c r="Q40" s="690"/>
      <c r="S40" s="694"/>
      <c r="T40" s="694"/>
      <c r="U40" s="443"/>
      <c r="Y40" s="814"/>
      <c r="Z40" s="6"/>
    </row>
    <row r="41" spans="1:49" s="704" customFormat="1" ht="39" customHeight="1">
      <c r="D41" s="206" t="s">
        <v>64</v>
      </c>
      <c r="E41" s="1679" t="s">
        <v>2763</v>
      </c>
      <c r="F41" s="1679"/>
      <c r="G41" s="1679"/>
      <c r="H41" s="1679"/>
      <c r="I41" s="1679"/>
      <c r="J41" s="1679"/>
      <c r="K41" s="1679"/>
      <c r="L41" s="1679"/>
      <c r="M41" s="1679"/>
      <c r="N41" s="1679"/>
      <c r="O41" s="1679"/>
      <c r="P41" s="1679"/>
      <c r="Q41" s="1679"/>
      <c r="R41" s="706"/>
      <c r="S41" s="448"/>
      <c r="T41" s="448"/>
      <c r="U41" s="446"/>
      <c r="V41" s="706"/>
      <c r="W41" s="706"/>
      <c r="Y41" s="814"/>
      <c r="Z41" s="6"/>
    </row>
    <row r="42" spans="1:49" s="704" customFormat="1" ht="20.100000000000001" customHeight="1" thickBot="1">
      <c r="E42" s="1605"/>
      <c r="F42" s="1605"/>
      <c r="G42" s="1605"/>
      <c r="H42" s="1605"/>
      <c r="I42" s="1605"/>
      <c r="J42" s="1605"/>
      <c r="K42" s="1605"/>
      <c r="L42" s="1605"/>
      <c r="M42" s="1605"/>
      <c r="N42" s="1605"/>
      <c r="O42" s="1605"/>
      <c r="P42" s="1605"/>
      <c r="Q42" s="1605"/>
      <c r="R42" s="706"/>
      <c r="T42" s="694"/>
      <c r="U42" s="443"/>
      <c r="Y42" s="814"/>
      <c r="Z42" s="6"/>
    </row>
    <row r="43" spans="1:49" ht="6" customHeight="1" thickTop="1"/>
    <row r="44" spans="1:49" s="704" customFormat="1" ht="15" customHeight="1">
      <c r="A44" s="694"/>
      <c r="B44" s="85"/>
      <c r="C44" s="132">
        <v>6</v>
      </c>
      <c r="D44" s="1593" t="s">
        <v>2764</v>
      </c>
      <c r="E44" s="1593"/>
      <c r="F44" s="1593"/>
      <c r="G44" s="1593"/>
      <c r="H44" s="1593"/>
      <c r="I44" s="1593"/>
      <c r="J44" s="1593"/>
      <c r="K44" s="1593"/>
      <c r="L44" s="1593"/>
      <c r="M44" s="1593"/>
      <c r="N44" s="1593"/>
      <c r="O44" s="1593"/>
      <c r="P44" s="1593"/>
      <c r="Q44" s="1593"/>
      <c r="S44" s="833"/>
      <c r="T44" s="699"/>
      <c r="U44" s="443"/>
      <c r="W44" s="39"/>
      <c r="X44" s="39"/>
      <c r="Y44" s="39"/>
      <c r="Z44" s="6"/>
      <c r="AA44" s="39"/>
      <c r="AB44" s="39"/>
      <c r="AC44" s="39"/>
      <c r="AD44" s="39"/>
      <c r="AE44" s="39"/>
      <c r="AF44" s="39"/>
      <c r="AH44" s="39"/>
      <c r="AI44" s="39"/>
      <c r="AJ44" s="39"/>
      <c r="AK44" s="39"/>
      <c r="AL44" s="39"/>
      <c r="AM44" s="39"/>
      <c r="AN44" s="39"/>
      <c r="AO44" s="39"/>
      <c r="AP44" s="39"/>
      <c r="AQ44" s="39"/>
      <c r="AR44" s="39"/>
      <c r="AS44" s="39"/>
      <c r="AT44" s="39"/>
      <c r="AU44" s="39"/>
      <c r="AV44" s="39"/>
      <c r="AW44" s="6"/>
    </row>
    <row r="45" spans="1:49" s="704" customFormat="1" ht="6" customHeight="1" thickBot="1">
      <c r="D45" s="695"/>
      <c r="E45" s="695"/>
      <c r="F45" s="695"/>
      <c r="G45" s="695"/>
      <c r="H45" s="695"/>
      <c r="I45" s="695"/>
      <c r="J45" s="700"/>
      <c r="K45" s="700"/>
      <c r="L45" s="700"/>
      <c r="M45" s="700"/>
      <c r="N45" s="700"/>
      <c r="O45" s="702"/>
      <c r="P45" s="695"/>
      <c r="Q45" s="695"/>
      <c r="S45" s="694"/>
      <c r="T45" s="694"/>
      <c r="U45" s="443"/>
      <c r="W45" s="39"/>
      <c r="X45" s="39"/>
      <c r="Y45" s="39"/>
      <c r="Z45" s="6"/>
      <c r="AA45" s="39"/>
      <c r="AB45" s="39"/>
      <c r="AC45" s="39"/>
      <c r="AD45" s="39"/>
      <c r="AE45" s="39"/>
      <c r="AF45" s="39"/>
      <c r="AH45" s="39"/>
      <c r="AI45" s="39"/>
      <c r="AJ45" s="39"/>
      <c r="AK45" s="39"/>
      <c r="AL45" s="39"/>
      <c r="AM45" s="39"/>
      <c r="AN45" s="39"/>
      <c r="AO45" s="39"/>
      <c r="AP45" s="39"/>
      <c r="AQ45" s="39"/>
      <c r="AR45" s="39"/>
      <c r="AS45" s="39"/>
      <c r="AT45" s="39"/>
      <c r="AU45" s="39"/>
      <c r="AV45" s="39"/>
      <c r="AW45" s="6"/>
    </row>
    <row r="46" spans="1:49" s="704" customFormat="1" ht="26.1" customHeight="1" thickBot="1">
      <c r="D46" s="206" t="s">
        <v>63</v>
      </c>
      <c r="E46" s="1656" t="s">
        <v>2262</v>
      </c>
      <c r="F46" s="1656"/>
      <c r="G46" s="1656"/>
      <c r="H46" s="1656"/>
      <c r="I46" s="1656"/>
      <c r="J46" s="1656"/>
      <c r="K46" s="1656"/>
      <c r="L46" s="1656"/>
      <c r="M46" s="1656"/>
      <c r="N46" s="1656"/>
      <c r="O46" s="1656"/>
      <c r="P46" s="1656"/>
      <c r="Q46" s="816"/>
      <c r="R46" s="706"/>
      <c r="S46" s="425">
        <f>IF(Q46=TRUE,12.5,0)</f>
        <v>0</v>
      </c>
      <c r="T46" s="699"/>
      <c r="U46" s="449"/>
      <c r="V46" s="448"/>
      <c r="W46" s="744"/>
      <c r="X46" s="744"/>
      <c r="Y46" s="744"/>
      <c r="Z46" s="6"/>
      <c r="AA46" s="744"/>
      <c r="AB46" s="744"/>
      <c r="AC46" s="744"/>
      <c r="AD46" s="744"/>
      <c r="AE46" s="744"/>
      <c r="AF46" s="744"/>
      <c r="AH46" s="744"/>
      <c r="AI46" s="744"/>
      <c r="AJ46" s="744"/>
      <c r="AK46" s="744"/>
      <c r="AL46" s="744"/>
      <c r="AM46" s="744"/>
      <c r="AN46" s="744"/>
      <c r="AO46" s="744"/>
      <c r="AP46" s="744"/>
      <c r="AQ46" s="744"/>
      <c r="AR46" s="744"/>
      <c r="AS46" s="744"/>
      <c r="AT46" s="744"/>
      <c r="AU46" s="744"/>
      <c r="AV46" s="744"/>
      <c r="AW46" s="6"/>
    </row>
    <row r="47" spans="1:49" s="704" customFormat="1" ht="6" customHeight="1" thickTop="1" thickBot="1">
      <c r="D47" s="695"/>
      <c r="E47" s="695"/>
      <c r="F47" s="695"/>
      <c r="G47" s="695"/>
      <c r="H47" s="695"/>
      <c r="I47" s="695"/>
      <c r="J47" s="695"/>
      <c r="K47" s="695"/>
      <c r="L47" s="695"/>
      <c r="M47" s="695"/>
      <c r="N47" s="695"/>
      <c r="O47" s="700"/>
      <c r="P47" s="700"/>
      <c r="Q47" s="700"/>
      <c r="R47" s="700"/>
      <c r="S47" s="702"/>
      <c r="T47" s="702"/>
      <c r="U47" s="270"/>
      <c r="V47" s="695"/>
      <c r="W47" s="703"/>
      <c r="X47" s="703"/>
      <c r="Y47" s="813"/>
      <c r="Z47" s="6"/>
      <c r="AA47" s="695"/>
      <c r="AB47" s="695"/>
      <c r="AC47" s="695"/>
      <c r="AD47" s="695"/>
      <c r="AE47" s="695"/>
      <c r="AF47" s="695"/>
      <c r="AH47" s="695"/>
      <c r="AI47" s="695"/>
      <c r="AJ47" s="695"/>
      <c r="AK47" s="695"/>
      <c r="AL47" s="695"/>
      <c r="AM47" s="695"/>
      <c r="AN47" s="695"/>
      <c r="AO47" s="695"/>
      <c r="AP47" s="695"/>
      <c r="AQ47" s="695"/>
      <c r="AR47" s="695"/>
      <c r="AS47" s="695"/>
      <c r="AT47" s="695"/>
      <c r="AU47" s="695"/>
      <c r="AV47" s="695"/>
      <c r="AW47" s="6"/>
    </row>
    <row r="48" spans="1:49" s="704" customFormat="1" ht="26.1" customHeight="1" thickBot="1">
      <c r="D48" s="206" t="s">
        <v>64</v>
      </c>
      <c r="E48" s="1656" t="s">
        <v>2766</v>
      </c>
      <c r="F48" s="1656"/>
      <c r="G48" s="1656"/>
      <c r="H48" s="1656"/>
      <c r="I48" s="1656"/>
      <c r="J48" s="1656"/>
      <c r="K48" s="1656"/>
      <c r="L48" s="1656"/>
      <c r="M48" s="1656"/>
      <c r="N48" s="1656"/>
      <c r="O48" s="1656"/>
      <c r="P48" s="1679"/>
      <c r="Q48" s="1544"/>
      <c r="R48" s="706"/>
      <c r="S48" s="425">
        <f>IF(Q48=TRUE,12.5,0)</f>
        <v>0</v>
      </c>
      <c r="T48" s="1219">
        <f>+S46+S48</f>
        <v>0</v>
      </c>
      <c r="U48" s="449"/>
      <c r="V48" s="448">
        <f>+S48+S46</f>
        <v>0</v>
      </c>
      <c r="W48" s="706" t="s">
        <v>1456</v>
      </c>
      <c r="X48" s="706"/>
      <c r="Y48" s="815"/>
      <c r="Z48" s="6"/>
      <c r="AA48" s="706"/>
      <c r="AB48" s="706"/>
      <c r="AC48" s="706"/>
      <c r="AD48" s="706"/>
      <c r="AE48" s="706"/>
      <c r="AF48" s="706"/>
      <c r="AH48" s="706"/>
      <c r="AI48" s="706"/>
      <c r="AJ48" s="706"/>
      <c r="AK48" s="706"/>
      <c r="AL48" s="706"/>
      <c r="AM48" s="706"/>
      <c r="AN48" s="706"/>
      <c r="AO48" s="706"/>
      <c r="AP48" s="706"/>
      <c r="AQ48" s="706"/>
      <c r="AR48" s="706"/>
      <c r="AS48" s="706"/>
      <c r="AT48" s="706"/>
      <c r="AU48" s="706"/>
      <c r="AV48" s="706"/>
      <c r="AW48" s="6"/>
    </row>
    <row r="49" spans="4:49" s="704" customFormat="1" ht="6" customHeight="1" thickTop="1">
      <c r="E49" s="699"/>
      <c r="F49" s="699"/>
      <c r="G49" s="694"/>
      <c r="H49" s="699"/>
      <c r="I49" s="694"/>
      <c r="J49" s="699"/>
      <c r="K49" s="690"/>
      <c r="L49" s="690"/>
      <c r="M49" s="690"/>
      <c r="N49" s="690"/>
      <c r="O49" s="690"/>
      <c r="P49" s="690"/>
      <c r="Q49" s="690"/>
      <c r="S49" s="694"/>
      <c r="T49" s="694"/>
      <c r="U49" s="443"/>
      <c r="Y49" s="814"/>
      <c r="Z49" s="6"/>
      <c r="AW49" s="6"/>
    </row>
    <row r="50" spans="4:49" s="704" customFormat="1" ht="26.1" customHeight="1">
      <c r="D50" s="206" t="s">
        <v>67</v>
      </c>
      <c r="E50" s="1679" t="s">
        <v>2767</v>
      </c>
      <c r="F50" s="1679"/>
      <c r="G50" s="1679"/>
      <c r="H50" s="1679"/>
      <c r="I50" s="1679"/>
      <c r="J50" s="1679"/>
      <c r="K50" s="1679"/>
      <c r="L50" s="1679"/>
      <c r="M50" s="1679"/>
      <c r="N50" s="1679"/>
      <c r="O50" s="1679"/>
      <c r="P50" s="1679"/>
      <c r="Q50" s="1679"/>
      <c r="R50" s="706"/>
      <c r="S50" s="448"/>
      <c r="T50" s="448"/>
      <c r="U50" s="446"/>
      <c r="V50" s="706"/>
      <c r="W50" s="706"/>
      <c r="X50" s="706"/>
      <c r="Y50" s="815"/>
      <c r="Z50" s="6"/>
      <c r="AA50" s="706"/>
      <c r="AB50" s="706"/>
      <c r="AC50" s="706"/>
      <c r="AD50" s="706"/>
      <c r="AE50" s="706"/>
      <c r="AF50" s="706"/>
      <c r="AH50" s="706"/>
      <c r="AI50" s="706"/>
      <c r="AJ50" s="706"/>
      <c r="AK50" s="706"/>
      <c r="AL50" s="706"/>
      <c r="AM50" s="706"/>
      <c r="AN50" s="706"/>
      <c r="AO50" s="706"/>
      <c r="AP50" s="706"/>
      <c r="AQ50" s="706"/>
      <c r="AR50" s="706"/>
      <c r="AS50" s="706"/>
      <c r="AT50" s="706"/>
      <c r="AU50" s="706"/>
      <c r="AV50" s="706"/>
      <c r="AW50" s="6"/>
    </row>
    <row r="51" spans="4:49" s="704" customFormat="1" ht="6" customHeight="1" thickBot="1">
      <c r="S51" s="694"/>
      <c r="T51" s="694"/>
      <c r="U51" s="443"/>
      <c r="Y51" s="814"/>
      <c r="Z51" s="6"/>
      <c r="AW51" s="6"/>
    </row>
    <row r="52" spans="4:49" s="704" customFormat="1" ht="15" customHeight="1" thickTop="1" thickBot="1">
      <c r="E52" s="1593" t="s">
        <v>2765</v>
      </c>
      <c r="F52" s="1593"/>
      <c r="G52" s="1593"/>
      <c r="H52" s="1593"/>
      <c r="I52" s="1593"/>
      <c r="J52" s="1593"/>
      <c r="K52" s="1675"/>
      <c r="L52" s="1675"/>
      <c r="M52" s="1675"/>
      <c r="N52" s="1694" t="s">
        <v>1023</v>
      </c>
      <c r="O52" s="1694"/>
      <c r="P52" s="2104"/>
      <c r="Q52" s="450"/>
      <c r="S52" s="694"/>
      <c r="T52" s="694"/>
      <c r="U52" s="443"/>
      <c r="Y52" s="814"/>
      <c r="Z52" s="6"/>
      <c r="AW52" s="6"/>
    </row>
    <row r="53" spans="4:49" ht="13.5" thickTop="1"/>
  </sheetData>
  <sheetProtection algorithmName="SHA-512" hashValue="lZMx2L4eULqazklU55+dL3cmGFLeflcN/SdFt/svrsAjRqGK5Tp+oSMhJpFoYSOUYNrvVrLhiJGgyZ4hOzCVcg==" saltValue="RYErd/t7BxJG8uxwONjF3A==" spinCount="100000" sheet="1" objects="1" scenarios="1"/>
  <mergeCells count="29">
    <mergeCell ref="D37:Q37"/>
    <mergeCell ref="R1:T3"/>
    <mergeCell ref="D44:Q44"/>
    <mergeCell ref="K52:M52"/>
    <mergeCell ref="N52:P52"/>
    <mergeCell ref="E46:P46"/>
    <mergeCell ref="E48:P48"/>
    <mergeCell ref="E50:Q50"/>
    <mergeCell ref="E39:P39"/>
    <mergeCell ref="E41:Q41"/>
    <mergeCell ref="E31:P31"/>
    <mergeCell ref="E33:P33"/>
    <mergeCell ref="E35:P35"/>
    <mergeCell ref="E52:J52"/>
    <mergeCell ref="E42:Q42"/>
    <mergeCell ref="D7:Q7"/>
    <mergeCell ref="E9:P9"/>
    <mergeCell ref="D3:Q3"/>
    <mergeCell ref="D5:P5"/>
    <mergeCell ref="E11:P11"/>
    <mergeCell ref="C13:Q13"/>
    <mergeCell ref="D15:Q15"/>
    <mergeCell ref="D17:P17"/>
    <mergeCell ref="D29:Q29"/>
    <mergeCell ref="D19:Q19"/>
    <mergeCell ref="D21:P21"/>
    <mergeCell ref="D23:Q23"/>
    <mergeCell ref="E25:P25"/>
    <mergeCell ref="E27:P27"/>
  </mergeCells>
  <dataValidations count="4">
    <dataValidation type="list" allowBlank="1" showInputMessage="1" showErrorMessage="1" sqref="Q5 Q27 Q31 Q21 Q17 Q39 Q46 Q48" xr:uid="{00000000-0002-0000-1B00-000000000000}">
      <formula1>$X$3:$X$4</formula1>
    </dataValidation>
    <dataValidation type="whole" operator="greaterThanOrEqual" allowBlank="1" showInputMessage="1" showErrorMessage="1" error="Enter the number of properties." sqref="Q25" xr:uid="{00000000-0002-0000-1B00-000001000000}">
      <formula1>0</formula1>
    </dataValidation>
    <dataValidation type="decimal" errorStyle="warning" operator="greaterThan" allowBlank="1" showInputMessage="1" showErrorMessage="1" error="Percentage of work time spent in development must be greater than 50% to be considered &quot;predominantly employed in development&quot;" sqref="Q52" xr:uid="{00000000-0002-0000-1B00-000002000000}">
      <formula1>0.5</formula1>
    </dataValidation>
    <dataValidation type="list" allowBlank="1" showInputMessage="1" showErrorMessage="1" sqref="Q33" xr:uid="{00000000-0002-0000-1B00-000003000000}">
      <formula1>$Y$3:$Y$5</formula1>
    </dataValidation>
  </dataValidations>
  <pageMargins left="0.75" right="0.5" top="0.5" bottom="0.75" header="0" footer="0.5"/>
  <pageSetup scale="80" firstPageNumber="3" orientation="portrait" r:id="rId1"/>
  <headerFooter alignWithMargins="0">
    <oddFooter>&amp;C&amp;A&amp;R&amp;D &amp;T</oddFooter>
  </headerFooter>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5">
    <pageSetUpPr fitToPage="1"/>
  </sheetPr>
  <dimension ref="A1:BD723"/>
  <sheetViews>
    <sheetView zoomScaleNormal="100" workbookViewId="0"/>
  </sheetViews>
  <sheetFormatPr defaultColWidth="10.7109375" defaultRowHeight="12.75"/>
  <cols>
    <col min="1" max="1" width="4.7109375" style="4" customWidth="1"/>
    <col min="2" max="6" width="2.7109375" style="4" customWidth="1"/>
    <col min="7" max="7" width="2.7109375" style="1546" customWidth="1"/>
    <col min="8" max="10" width="6.7109375" style="4" customWidth="1"/>
    <col min="11" max="11" width="10.7109375" style="4" customWidth="1"/>
    <col min="12" max="12" width="12.7109375" style="4" customWidth="1"/>
    <col min="13" max="13" width="5.7109375" style="4" customWidth="1"/>
    <col min="14" max="16" width="6.7109375" style="4" customWidth="1"/>
    <col min="17" max="17" width="7.7109375" style="4" customWidth="1"/>
    <col min="18" max="18" width="6.42578125" style="4" customWidth="1"/>
    <col min="19" max="19" width="12.7109375" style="4" customWidth="1"/>
    <col min="20" max="20" width="10.7109375" style="4" customWidth="1"/>
    <col min="21" max="21" width="10.7109375" style="12"/>
    <col min="22" max="22" width="15.7109375" style="12" customWidth="1"/>
    <col min="23" max="23" width="5.7109375" style="443" customWidth="1"/>
    <col min="24" max="25" width="10.7109375" style="801" hidden="1" customWidth="1"/>
    <col min="26" max="26" width="9.85546875" style="4" hidden="1" customWidth="1"/>
    <col min="27" max="30" width="10.7109375" style="704" hidden="1" customWidth="1"/>
    <col min="31" max="31" width="50.42578125" style="704" hidden="1" customWidth="1"/>
    <col min="32" max="55" width="10.7109375" style="704" hidden="1" customWidth="1"/>
    <col min="56" max="56" width="5.7109375" style="6" customWidth="1"/>
    <col min="57" max="16384" width="10.7109375" style="4"/>
  </cols>
  <sheetData>
    <row r="1" spans="1:56" s="814" customFormat="1">
      <c r="A1" s="1302" t="str">
        <f>IF('FORM 1040-1'!D15="","",'FORM 1040-1'!D15)</f>
        <v/>
      </c>
      <c r="B1" s="1303"/>
      <c r="C1" s="1303"/>
      <c r="D1" s="1303"/>
      <c r="E1" s="1303"/>
      <c r="F1" s="1303"/>
      <c r="G1" s="1303"/>
      <c r="H1" s="1303"/>
      <c r="I1" s="1303"/>
      <c r="J1" s="1303"/>
      <c r="K1" s="1303"/>
      <c r="L1" s="1303"/>
      <c r="M1" s="1303"/>
      <c r="N1" s="1303"/>
      <c r="O1" s="1303"/>
      <c r="P1" s="1303"/>
      <c r="Q1" s="1303"/>
      <c r="R1" s="1303"/>
      <c r="S1" s="1294" t="str">
        <f>IF('FORM 1040-1'!$E$12="","",'FORM 1040-1'!$E$12)</f>
        <v/>
      </c>
      <c r="T1" s="2072" t="s">
        <v>1621</v>
      </c>
      <c r="U1" s="2072"/>
      <c r="V1" s="2072"/>
      <c r="W1" s="443"/>
      <c r="X1" s="801"/>
      <c r="Y1" s="801"/>
      <c r="BD1" s="6"/>
    </row>
    <row r="2" spans="1:56" s="814" customFormat="1" ht="12.75" customHeight="1">
      <c r="G2" s="1546"/>
      <c r="T2" s="2072"/>
      <c r="U2" s="2072"/>
      <c r="V2" s="2072"/>
      <c r="W2" s="443"/>
      <c r="X2" s="801"/>
      <c r="Y2" s="801"/>
      <c r="BD2" s="6"/>
    </row>
    <row r="3" spans="1:56" ht="15" customHeight="1">
      <c r="A3" s="718" t="s">
        <v>21</v>
      </c>
      <c r="B3" s="85" t="s">
        <v>54</v>
      </c>
      <c r="C3" s="132">
        <v>7</v>
      </c>
      <c r="D3" s="1593" t="s">
        <v>1671</v>
      </c>
      <c r="E3" s="1593"/>
      <c r="F3" s="1593"/>
      <c r="G3" s="1593"/>
      <c r="H3" s="1593"/>
      <c r="I3" s="1593"/>
      <c r="J3" s="1593"/>
      <c r="K3" s="1593"/>
      <c r="L3" s="1593"/>
      <c r="M3" s="1593"/>
      <c r="N3" s="1593"/>
      <c r="O3" s="1593"/>
      <c r="P3" s="1593"/>
      <c r="Q3" s="1593"/>
      <c r="R3" s="1593"/>
      <c r="S3" s="1593"/>
      <c r="T3" s="2072"/>
      <c r="U3" s="2072"/>
      <c r="V3" s="2072"/>
      <c r="W3" s="318"/>
      <c r="Z3" s="22" t="b">
        <v>1</v>
      </c>
      <c r="AA3" s="293" t="s">
        <v>806</v>
      </c>
      <c r="AB3" s="293" t="b">
        <v>1</v>
      </c>
      <c r="AC3" s="696"/>
      <c r="AD3" s="696"/>
      <c r="AE3" s="696"/>
      <c r="AF3" s="696"/>
      <c r="AG3" s="696"/>
      <c r="AH3" s="696"/>
      <c r="AI3" s="696"/>
      <c r="AJ3" s="696"/>
      <c r="AK3" s="696"/>
      <c r="AL3" s="696"/>
      <c r="AM3" s="696"/>
      <c r="AN3" s="696"/>
      <c r="AO3" s="696"/>
      <c r="AP3" s="696"/>
      <c r="AQ3" s="696"/>
      <c r="AR3" s="696"/>
      <c r="AS3" s="696"/>
      <c r="AT3" s="696"/>
      <c r="AU3" s="696"/>
      <c r="AV3" s="696"/>
      <c r="AW3" s="696"/>
      <c r="AX3" s="696"/>
      <c r="AY3" s="696"/>
      <c r="AZ3" s="696"/>
      <c r="BA3" s="696"/>
      <c r="BB3" s="696"/>
      <c r="BC3" s="696"/>
    </row>
    <row r="4" spans="1:56" ht="12" customHeight="1" thickBot="1">
      <c r="A4" s="704"/>
      <c r="B4" s="704"/>
      <c r="C4" s="704"/>
      <c r="D4" s="704"/>
      <c r="E4" s="704"/>
      <c r="F4" s="704"/>
      <c r="H4" s="704"/>
      <c r="I4" s="704"/>
      <c r="J4" s="704"/>
      <c r="K4" s="704"/>
      <c r="L4" s="704"/>
      <c r="M4" s="704"/>
      <c r="N4" s="704"/>
      <c r="O4" s="704"/>
      <c r="P4" s="704"/>
      <c r="Q4" s="704"/>
      <c r="R4" s="704"/>
      <c r="S4" s="704"/>
      <c r="T4" s="704"/>
      <c r="U4" s="424" t="s">
        <v>795</v>
      </c>
      <c r="Z4" s="22" t="b">
        <v>0</v>
      </c>
      <c r="AA4" s="293" t="s">
        <v>800</v>
      </c>
      <c r="AB4" s="293" t="b">
        <v>0</v>
      </c>
    </row>
    <row r="5" spans="1:56" ht="26.1" customHeight="1" thickBot="1">
      <c r="A5" s="704"/>
      <c r="B5" s="704"/>
      <c r="C5" s="704"/>
      <c r="D5" s="206" t="s">
        <v>63</v>
      </c>
      <c r="E5" s="1752" t="s">
        <v>1672</v>
      </c>
      <c r="F5" s="1752"/>
      <c r="G5" s="1752"/>
      <c r="H5" s="1752"/>
      <c r="I5" s="1752"/>
      <c r="J5" s="1752"/>
      <c r="K5" s="1752"/>
      <c r="L5" s="1752"/>
      <c r="M5" s="1752"/>
      <c r="N5" s="1752"/>
      <c r="O5" s="1752"/>
      <c r="P5" s="1752"/>
      <c r="Q5" s="1752"/>
      <c r="R5" s="1752"/>
      <c r="S5" s="707"/>
      <c r="T5" s="706"/>
      <c r="U5" s="699"/>
      <c r="V5" s="26"/>
      <c r="W5" s="449"/>
      <c r="X5" s="710" t="s">
        <v>1650</v>
      </c>
      <c r="Y5" s="87" t="s">
        <v>764</v>
      </c>
      <c r="Z5" s="157"/>
      <c r="AA5" s="460" t="s">
        <v>2027</v>
      </c>
      <c r="AB5" s="460" t="s">
        <v>312</v>
      </c>
      <c r="AC5" s="706"/>
      <c r="AD5" s="706"/>
      <c r="AE5" s="706"/>
      <c r="AF5" s="706"/>
      <c r="AG5" s="706"/>
      <c r="AH5" s="706"/>
      <c r="AI5" s="706"/>
      <c r="AJ5" s="706"/>
      <c r="AK5" s="706"/>
      <c r="AL5" s="706"/>
      <c r="AM5" s="706"/>
      <c r="AN5" s="706"/>
      <c r="AO5" s="706"/>
      <c r="AP5" s="706"/>
      <c r="AQ5" s="706"/>
      <c r="AR5" s="706"/>
      <c r="AS5" s="706"/>
      <c r="AT5" s="706"/>
      <c r="AU5" s="706"/>
      <c r="AV5" s="706"/>
      <c r="AW5" s="706"/>
      <c r="AX5" s="706"/>
      <c r="AY5" s="706"/>
      <c r="AZ5" s="706"/>
      <c r="BA5" s="706"/>
      <c r="BB5" s="706"/>
      <c r="BC5" s="706"/>
    </row>
    <row r="6" spans="1:56" ht="6" customHeight="1" thickTop="1">
      <c r="A6" s="704"/>
      <c r="B6" s="704"/>
      <c r="C6" s="704"/>
      <c r="D6" s="704"/>
      <c r="E6" s="80"/>
      <c r="F6" s="80"/>
      <c r="G6" s="80"/>
      <c r="H6" s="80"/>
      <c r="I6" s="80"/>
      <c r="J6" s="80"/>
      <c r="K6" s="80"/>
      <c r="L6" s="80"/>
      <c r="M6" s="80"/>
      <c r="N6" s="80"/>
      <c r="O6" s="80"/>
      <c r="P6" s="80"/>
      <c r="Q6" s="80"/>
      <c r="R6" s="80"/>
      <c r="S6" s="704"/>
      <c r="T6" s="704"/>
      <c r="U6" s="699"/>
    </row>
    <row r="7" spans="1:56" s="704" customFormat="1" ht="26.1" customHeight="1" thickBot="1">
      <c r="D7" s="206" t="s">
        <v>64</v>
      </c>
      <c r="E7" s="1752" t="s">
        <v>1673</v>
      </c>
      <c r="F7" s="1752"/>
      <c r="G7" s="1752"/>
      <c r="H7" s="1752"/>
      <c r="I7" s="1752"/>
      <c r="J7" s="1752"/>
      <c r="K7" s="1752"/>
      <c r="L7" s="1752"/>
      <c r="M7" s="1752"/>
      <c r="N7" s="1752"/>
      <c r="O7" s="1752"/>
      <c r="P7" s="1752"/>
      <c r="Q7" s="1752"/>
      <c r="R7" s="1752"/>
      <c r="S7" s="1262"/>
      <c r="T7" s="706"/>
      <c r="U7" s="699"/>
      <c r="V7" s="699"/>
      <c r="W7" s="449"/>
      <c r="X7" s="448"/>
      <c r="Y7" s="448"/>
      <c r="Z7" s="706"/>
      <c r="AA7" s="706"/>
      <c r="AB7" s="706"/>
      <c r="AC7" s="706"/>
      <c r="AD7" s="706"/>
      <c r="AE7" s="706"/>
      <c r="AF7" s="706"/>
      <c r="AG7" s="706"/>
      <c r="AH7" s="706"/>
      <c r="AI7" s="706"/>
      <c r="AJ7" s="706"/>
      <c r="AK7" s="706"/>
      <c r="AL7" s="706"/>
      <c r="AM7" s="706"/>
      <c r="AN7" s="706"/>
      <c r="AO7" s="706"/>
      <c r="AP7" s="706"/>
      <c r="AQ7" s="706"/>
      <c r="AR7" s="706"/>
      <c r="AS7" s="706"/>
      <c r="AT7" s="706"/>
      <c r="AU7" s="706"/>
      <c r="AV7" s="706"/>
      <c r="AW7" s="706"/>
      <c r="AX7" s="706"/>
      <c r="AY7" s="706"/>
      <c r="AZ7" s="706"/>
      <c r="BA7" s="706"/>
      <c r="BB7" s="706"/>
      <c r="BC7" s="706"/>
      <c r="BD7" s="6"/>
    </row>
    <row r="8" spans="1:56" s="704" customFormat="1" ht="6" customHeight="1" thickTop="1">
      <c r="E8" s="80"/>
      <c r="F8" s="80"/>
      <c r="G8" s="80"/>
      <c r="H8" s="80"/>
      <c r="I8" s="80"/>
      <c r="J8" s="80"/>
      <c r="K8" s="80"/>
      <c r="L8" s="80"/>
      <c r="M8" s="80"/>
      <c r="N8" s="80"/>
      <c r="O8" s="80"/>
      <c r="P8" s="80"/>
      <c r="Q8" s="80"/>
      <c r="R8" s="80"/>
      <c r="U8" s="699"/>
      <c r="V8" s="694"/>
      <c r="W8" s="443"/>
      <c r="X8" s="801"/>
      <c r="Y8" s="801"/>
      <c r="BD8" s="6"/>
    </row>
    <row r="9" spans="1:56" ht="53.1" customHeight="1" thickBot="1">
      <c r="D9" s="206" t="s">
        <v>67</v>
      </c>
      <c r="E9" s="1752" t="s">
        <v>1902</v>
      </c>
      <c r="F9" s="1752"/>
      <c r="G9" s="1752"/>
      <c r="H9" s="1752"/>
      <c r="I9" s="1752"/>
      <c r="J9" s="1752"/>
      <c r="K9" s="1752"/>
      <c r="L9" s="1752"/>
      <c r="M9" s="1752"/>
      <c r="N9" s="1752"/>
      <c r="O9" s="1752"/>
      <c r="P9" s="1752"/>
      <c r="Q9" s="1752"/>
      <c r="R9" s="1752"/>
      <c r="S9" s="1262"/>
      <c r="T9" s="157"/>
      <c r="U9" s="26"/>
      <c r="V9" s="26"/>
      <c r="W9" s="449"/>
      <c r="X9" s="448"/>
      <c r="Y9" s="448"/>
      <c r="Z9" s="157"/>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6"/>
      <c r="AY9" s="706"/>
      <c r="AZ9" s="706"/>
      <c r="BA9" s="706"/>
      <c r="BB9" s="706"/>
      <c r="BC9" s="706"/>
    </row>
    <row r="10" spans="1:56" ht="6" customHeight="1" thickTop="1">
      <c r="E10" s="80"/>
      <c r="F10" s="80"/>
      <c r="G10" s="80"/>
      <c r="H10" s="80"/>
      <c r="I10" s="80"/>
      <c r="J10" s="80"/>
      <c r="K10" s="80"/>
      <c r="L10" s="80"/>
      <c r="M10" s="80"/>
      <c r="N10" s="80"/>
      <c r="O10" s="80"/>
      <c r="P10" s="80"/>
      <c r="Q10" s="80"/>
      <c r="R10" s="80"/>
    </row>
    <row r="11" spans="1:56" s="704" customFormat="1" ht="26.1" customHeight="1" thickBot="1">
      <c r="D11" s="206" t="s">
        <v>92</v>
      </c>
      <c r="E11" s="1752" t="s">
        <v>1903</v>
      </c>
      <c r="F11" s="1752"/>
      <c r="G11" s="1752"/>
      <c r="H11" s="1752"/>
      <c r="I11" s="1752"/>
      <c r="J11" s="1752"/>
      <c r="K11" s="1752"/>
      <c r="L11" s="1752"/>
      <c r="M11" s="1752"/>
      <c r="N11" s="1752"/>
      <c r="O11" s="1752"/>
      <c r="P11" s="1752"/>
      <c r="Q11" s="1752"/>
      <c r="R11" s="1752"/>
      <c r="S11" s="1262"/>
      <c r="T11" s="706"/>
      <c r="U11" s="699"/>
      <c r="V11" s="699"/>
      <c r="W11" s="449"/>
      <c r="X11" s="448"/>
      <c r="Y11" s="448"/>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6"/>
      <c r="AY11" s="706"/>
      <c r="AZ11" s="706"/>
      <c r="BA11" s="706"/>
      <c r="BB11" s="706"/>
      <c r="BC11" s="706"/>
      <c r="BD11" s="6"/>
    </row>
    <row r="12" spans="1:56" s="704" customFormat="1" ht="6" customHeight="1" thickTop="1" thickBot="1">
      <c r="E12" s="80"/>
      <c r="F12" s="80"/>
      <c r="G12" s="80"/>
      <c r="H12" s="80"/>
      <c r="I12" s="80"/>
      <c r="J12" s="80"/>
      <c r="K12" s="80"/>
      <c r="L12" s="80"/>
      <c r="M12" s="80"/>
      <c r="N12" s="80"/>
      <c r="O12" s="80"/>
      <c r="P12" s="80"/>
      <c r="Q12" s="80"/>
      <c r="R12" s="80"/>
      <c r="U12" s="694"/>
      <c r="V12" s="694"/>
      <c r="W12" s="443"/>
      <c r="X12" s="801"/>
      <c r="Y12" s="801"/>
      <c r="BD12" s="6"/>
    </row>
    <row r="13" spans="1:56" ht="39" customHeight="1" thickBot="1">
      <c r="D13" s="206" t="s">
        <v>93</v>
      </c>
      <c r="E13" s="1752" t="s">
        <v>1674</v>
      </c>
      <c r="F13" s="1752"/>
      <c r="G13" s="1752"/>
      <c r="H13" s="1752"/>
      <c r="I13" s="1752"/>
      <c r="J13" s="1752"/>
      <c r="K13" s="1752"/>
      <c r="L13" s="1752"/>
      <c r="M13" s="1752"/>
      <c r="N13" s="1752"/>
      <c r="O13" s="1752"/>
      <c r="P13" s="1752"/>
      <c r="Q13" s="1752"/>
      <c r="R13" s="1752"/>
      <c r="S13" s="1262"/>
      <c r="T13" s="157"/>
      <c r="U13" s="425">
        <f>IF(AND(S5=TRUE,S7=TRUE,S9=TRUE,S11=TRUE,S13=TRUE),20,0)</f>
        <v>0</v>
      </c>
      <c r="V13" s="26"/>
      <c r="W13" s="449"/>
      <c r="X13" s="448"/>
      <c r="Y13" s="448"/>
      <c r="AA13" s="706"/>
      <c r="AB13" s="706"/>
      <c r="AC13" s="706"/>
      <c r="AD13" s="706"/>
      <c r="AE13" s="706"/>
      <c r="AF13" s="706"/>
      <c r="AG13" s="706"/>
      <c r="AH13" s="706"/>
      <c r="AI13" s="706"/>
      <c r="AJ13" s="706"/>
      <c r="AK13" s="706"/>
      <c r="AL13" s="706"/>
      <c r="AM13" s="706"/>
      <c r="AN13" s="706"/>
      <c r="AO13" s="706"/>
      <c r="AP13" s="706"/>
      <c r="AQ13" s="706"/>
      <c r="AR13" s="706"/>
      <c r="AS13" s="706"/>
      <c r="AT13" s="706"/>
      <c r="AU13" s="706"/>
      <c r="AV13" s="706"/>
      <c r="AW13" s="706"/>
      <c r="AX13" s="706"/>
      <c r="AY13" s="706"/>
      <c r="AZ13" s="706"/>
      <c r="BA13" s="706"/>
      <c r="BB13" s="706"/>
      <c r="BC13" s="706"/>
    </row>
    <row r="14" spans="1:56" ht="6" customHeight="1" thickTop="1"/>
    <row r="15" spans="1:56" ht="26.1" customHeight="1">
      <c r="B15" s="206" t="s">
        <v>55</v>
      </c>
      <c r="C15" s="1752" t="s">
        <v>2768</v>
      </c>
      <c r="D15" s="1752"/>
      <c r="E15" s="1752"/>
      <c r="F15" s="1752"/>
      <c r="G15" s="1752"/>
      <c r="H15" s="1752"/>
      <c r="I15" s="1752"/>
      <c r="J15" s="1752"/>
      <c r="K15" s="1752"/>
      <c r="L15" s="1752"/>
      <c r="M15" s="1752"/>
      <c r="N15" s="1752"/>
      <c r="O15" s="1752"/>
      <c r="P15" s="1752"/>
      <c r="Q15" s="1752"/>
      <c r="R15" s="1752"/>
      <c r="S15" s="1752"/>
      <c r="T15" s="696"/>
      <c r="U15" s="696"/>
      <c r="V15" s="696"/>
    </row>
    <row r="16" spans="1:56" ht="12" customHeight="1" thickBot="1"/>
    <row r="17" spans="3:56" ht="15" customHeight="1" thickTop="1" thickBot="1">
      <c r="C17" s="1593" t="s">
        <v>1024</v>
      </c>
      <c r="D17" s="1593"/>
      <c r="E17" s="1593"/>
      <c r="F17" s="1593"/>
      <c r="G17" s="1593"/>
      <c r="H17" s="1593"/>
      <c r="I17" s="1634" t="str">
        <f>IF('FORM 1040-1'!N16="","",('FORM 1040-1'!N16))</f>
        <v/>
      </c>
      <c r="J17" s="1634"/>
      <c r="K17" s="1634"/>
      <c r="L17" s="2109" t="s">
        <v>1675</v>
      </c>
      <c r="M17" s="2109"/>
      <c r="N17" s="2107" t="str">
        <f>IF('FORM 1040-1'!S15="","",('FORM 1040-1'!S15))</f>
        <v/>
      </c>
      <c r="O17" s="2108"/>
      <c r="Z17" s="1593" t="s">
        <v>1740</v>
      </c>
      <c r="AA17" s="1593"/>
      <c r="AB17" s="1593"/>
      <c r="AC17" s="1593"/>
      <c r="AD17" s="1593"/>
      <c r="AE17" s="1593"/>
      <c r="AF17" s="1593"/>
    </row>
    <row r="18" spans="3:56" ht="6" customHeight="1" thickTop="1" thickBot="1"/>
    <row r="19" spans="3:56" ht="26.1" customHeight="1" thickTop="1" thickBot="1">
      <c r="C19" s="158">
        <v>1</v>
      </c>
      <c r="D19" s="1656" t="s">
        <v>2769</v>
      </c>
      <c r="E19" s="1656"/>
      <c r="F19" s="1656"/>
      <c r="G19" s="1656"/>
      <c r="H19" s="1656"/>
      <c r="I19" s="1656"/>
      <c r="J19" s="1656"/>
      <c r="K19" s="1656"/>
      <c r="L19" s="1656"/>
      <c r="M19" s="1656"/>
      <c r="N19" s="1656"/>
      <c r="O19" s="1656"/>
      <c r="P19" s="1656"/>
      <c r="Q19" s="1656"/>
      <c r="R19" s="1656"/>
      <c r="S19" s="311" t="str">
        <f>IF(ISERROR(Z19),"",Z19)</f>
        <v/>
      </c>
      <c r="T19" s="693"/>
      <c r="U19" s="830">
        <f>(+X19*'FORM 1040-15'!$S$9)+(Y19*'FORM 1040-15'!$S$11)</f>
        <v>0</v>
      </c>
      <c r="V19" s="693"/>
      <c r="X19" s="425">
        <f>IF(ISERROR(AA19),0,AA19)</f>
        <v>0</v>
      </c>
      <c r="Y19" s="425">
        <f>IF(ISERROR(AB19),0,AB19)</f>
        <v>0</v>
      </c>
      <c r="Z19" s="745" t="e">
        <f t="array" ref="Z19">INDEX($AH$61:$BC$544,MATCH(1,($AH$61:$AH$544=$I$17)*($AI$61:$AI$544=$N$17),0),3)</f>
        <v>#N/A</v>
      </c>
      <c r="AA19" s="860" t="e">
        <f>+AB19/2</f>
        <v>#N/A</v>
      </c>
      <c r="AB19" s="865" t="e">
        <f t="array" ref="AB19">INDEX($AH$61:$BC$544,MATCH(1,($AH$61:$AH$544=$I$17)*($AI$61:$AI$544=$N$17),0),4)</f>
        <v>#N/A</v>
      </c>
      <c r="AC19" s="801"/>
    </row>
    <row r="20" spans="3:56" ht="6" customHeight="1" thickTop="1" thickBot="1">
      <c r="C20" s="704"/>
      <c r="D20" s="695"/>
      <c r="E20" s="695"/>
      <c r="F20" s="695"/>
      <c r="G20" s="1547"/>
      <c r="H20" s="695"/>
      <c r="I20" s="695"/>
      <c r="J20" s="695"/>
      <c r="K20" s="695"/>
      <c r="L20" s="695"/>
      <c r="M20" s="695"/>
      <c r="N20" s="695"/>
      <c r="O20" s="695"/>
      <c r="P20" s="695"/>
      <c r="Q20" s="695"/>
      <c r="R20" s="695"/>
      <c r="S20" s="695"/>
      <c r="T20" s="695"/>
      <c r="U20" s="695"/>
      <c r="V20" s="695"/>
      <c r="AB20" s="862"/>
      <c r="AC20" s="801"/>
    </row>
    <row r="21" spans="3:56" ht="15" customHeight="1" thickTop="1" thickBot="1">
      <c r="C21" s="158">
        <v>2</v>
      </c>
      <c r="D21" s="1656" t="s">
        <v>2410</v>
      </c>
      <c r="E21" s="1656"/>
      <c r="F21" s="1656"/>
      <c r="G21" s="1656"/>
      <c r="H21" s="1656"/>
      <c r="I21" s="1656"/>
      <c r="J21" s="1656"/>
      <c r="K21" s="1656"/>
      <c r="L21" s="1656"/>
      <c r="M21" s="1656"/>
      <c r="N21" s="1656"/>
      <c r="O21" s="1656"/>
      <c r="P21" s="1656"/>
      <c r="Q21" s="1656"/>
      <c r="R21" s="1656"/>
      <c r="S21" s="766" t="str">
        <f>IF(ISERROR(Z21),"",Z21)</f>
        <v/>
      </c>
      <c r="T21" s="693"/>
      <c r="U21" s="830">
        <f>(+X21*'FORM 1040-15'!$S$9)+(Y21*'FORM 1040-15'!$S$11)</f>
        <v>0</v>
      </c>
      <c r="V21" s="693"/>
      <c r="X21" s="425">
        <f>IF(ISERROR(AA21),0,AA21)</f>
        <v>0</v>
      </c>
      <c r="Y21" s="425">
        <f>IF(ISERROR(AB21),0,AB21)</f>
        <v>0</v>
      </c>
      <c r="Z21" s="451" t="e">
        <f t="array" ref="Z21">INDEX($AH$61:$BC$544,MATCH(1,($AH$61:$AH$544=$I$17)*($AI$61:$AI$544=$N$17),0),5)</f>
        <v>#N/A</v>
      </c>
      <c r="AA21" s="860" t="e">
        <f>+AB21/2</f>
        <v>#N/A</v>
      </c>
      <c r="AB21" s="865" t="e">
        <f t="array" ref="AB21">INDEX($AH$61:$BC$544,MATCH(1,($AH$61:$AH$544=$I$17)*($AI$61:$AI$544=$N$17),0),6)</f>
        <v>#N/A</v>
      </c>
      <c r="AC21" s="801"/>
    </row>
    <row r="22" spans="3:56" ht="6" customHeight="1" thickTop="1" thickBot="1">
      <c r="C22" s="704"/>
      <c r="D22" s="695"/>
      <c r="E22" s="695"/>
      <c r="F22" s="695"/>
      <c r="G22" s="1547"/>
      <c r="H22" s="695"/>
      <c r="I22" s="695"/>
      <c r="J22" s="695"/>
      <c r="K22" s="695"/>
      <c r="L22" s="695"/>
      <c r="M22" s="695"/>
      <c r="N22" s="695"/>
      <c r="O22" s="695"/>
      <c r="P22" s="695"/>
      <c r="Q22" s="695"/>
      <c r="R22" s="695"/>
      <c r="S22" s="695"/>
      <c r="T22" s="695"/>
      <c r="U22" s="695"/>
      <c r="V22" s="695"/>
      <c r="AB22" s="862"/>
      <c r="AC22" s="801"/>
    </row>
    <row r="23" spans="3:56" ht="26.1" customHeight="1" thickTop="1" thickBot="1">
      <c r="C23" s="158">
        <v>3</v>
      </c>
      <c r="D23" s="1656" t="s">
        <v>1904</v>
      </c>
      <c r="E23" s="1656"/>
      <c r="F23" s="1656"/>
      <c r="G23" s="1656"/>
      <c r="H23" s="1656"/>
      <c r="I23" s="1656"/>
      <c r="J23" s="1656"/>
      <c r="K23" s="1656"/>
      <c r="L23" s="1656"/>
      <c r="M23" s="1656"/>
      <c r="N23" s="1656"/>
      <c r="O23" s="1656"/>
      <c r="P23" s="1656"/>
      <c r="Q23" s="1656"/>
      <c r="R23" s="1656"/>
      <c r="S23" s="767" t="str">
        <f>IF(ISERROR(Z23),"",Z23)</f>
        <v/>
      </c>
      <c r="T23" s="706"/>
      <c r="U23" s="830">
        <f>(+X23*'FORM 1040-15'!$S$9)+(Y23*'FORM 1040-15'!$S$11)</f>
        <v>0</v>
      </c>
      <c r="V23" s="706"/>
      <c r="X23" s="425">
        <f>IF(ISERROR(AA23),0,AA23)</f>
        <v>0</v>
      </c>
      <c r="Y23" s="425">
        <f>IF(ISERROR(AB23),0,AB23)</f>
        <v>0</v>
      </c>
      <c r="Z23" s="765" t="e">
        <f t="array" ref="Z23">INDEX($AH$61:$BC$544,MATCH(1,($AH$61:$AH$544=$I$17)*($AI$61:$AI$544=$N$17),0),7)</f>
        <v>#N/A</v>
      </c>
      <c r="AA23" s="860" t="e">
        <f>+AB23/2</f>
        <v>#N/A</v>
      </c>
      <c r="AB23" s="865" t="e">
        <f t="array" ref="AB23">INDEX($AH$61:$BC$544,MATCH(1,($AH$61:$AH$544=$I$17)*($AI$61:$AI$544=$N$17),0),8)</f>
        <v>#N/A</v>
      </c>
      <c r="AC23" s="801"/>
    </row>
    <row r="24" spans="3:56" ht="6" customHeight="1" thickTop="1" thickBot="1">
      <c r="C24" s="132"/>
      <c r="D24" s="693"/>
      <c r="E24" s="693"/>
      <c r="F24" s="693"/>
      <c r="G24" s="1545"/>
      <c r="H24" s="693"/>
      <c r="I24" s="693"/>
      <c r="J24" s="693"/>
      <c r="K24" s="693"/>
      <c r="L24" s="693"/>
      <c r="M24" s="693"/>
      <c r="N24" s="693"/>
      <c r="O24" s="693"/>
      <c r="P24" s="693"/>
      <c r="Q24" s="693"/>
      <c r="R24" s="693"/>
      <c r="S24" s="693"/>
      <c r="T24" s="693"/>
      <c r="U24" s="693"/>
      <c r="V24" s="693"/>
      <c r="AB24" s="862"/>
      <c r="AC24" s="801"/>
    </row>
    <row r="25" spans="3:56" s="704" customFormat="1" ht="15" customHeight="1" thickTop="1" thickBot="1">
      <c r="C25" s="158">
        <v>4</v>
      </c>
      <c r="D25" s="1656" t="s">
        <v>1905</v>
      </c>
      <c r="E25" s="1656"/>
      <c r="F25" s="1656"/>
      <c r="G25" s="1656"/>
      <c r="H25" s="1656"/>
      <c r="I25" s="1656"/>
      <c r="J25" s="1656"/>
      <c r="K25" s="1656"/>
      <c r="L25" s="1656"/>
      <c r="M25" s="1656"/>
      <c r="N25" s="1656"/>
      <c r="O25" s="1656"/>
      <c r="P25" s="1656"/>
      <c r="Q25" s="1656"/>
      <c r="R25" s="1656"/>
      <c r="S25" s="767" t="str">
        <f>IF(ISERROR(Z25),"",Z25)</f>
        <v/>
      </c>
      <c r="T25" s="693"/>
      <c r="U25" s="830">
        <f>(+X25*'FORM 1040-15'!$S$9)+(Y25*'FORM 1040-15'!$S$11)</f>
        <v>0</v>
      </c>
      <c r="V25" s="693"/>
      <c r="W25" s="443"/>
      <c r="X25" s="425">
        <f>IF(ISERROR(AA25),0,AA25)</f>
        <v>0</v>
      </c>
      <c r="Y25" s="425">
        <f>IF(ISERROR(AB25),0,AB25)</f>
        <v>0</v>
      </c>
      <c r="Z25" s="765" t="e">
        <f t="array" ref="Z25">INDEX($AH$61:$BC$544,MATCH(1,($AH$61:$AH$544=$I$17)*($AI$61:$AI$544=$N$17),0),9)</f>
        <v>#N/A</v>
      </c>
      <c r="AA25" s="860" t="e">
        <f>+AB25/2</f>
        <v>#N/A</v>
      </c>
      <c r="AB25" s="865" t="e">
        <f t="array" ref="AB25">INDEX($AH$61:$BC$544,MATCH(1,($AH$61:$AH$544=$I$17)*($AI$61:$AI$544=$N$17),0),10)</f>
        <v>#N/A</v>
      </c>
      <c r="AC25" s="801"/>
      <c r="BD25" s="6"/>
    </row>
    <row r="26" spans="3:56" ht="6" customHeight="1" thickTop="1">
      <c r="AB26" s="862"/>
      <c r="AC26" s="801"/>
    </row>
    <row r="27" spans="3:56" ht="15" customHeight="1">
      <c r="C27" s="132">
        <v>5</v>
      </c>
      <c r="D27" s="1656" t="s">
        <v>1906</v>
      </c>
      <c r="E27" s="1656"/>
      <c r="F27" s="1656"/>
      <c r="G27" s="1656"/>
      <c r="H27" s="1656"/>
      <c r="I27" s="1656"/>
      <c r="J27" s="1656"/>
      <c r="K27" s="1656"/>
      <c r="L27" s="1656"/>
      <c r="M27" s="1656"/>
      <c r="N27" s="1656"/>
      <c r="O27" s="1656"/>
      <c r="P27" s="1656"/>
      <c r="Q27" s="1656"/>
      <c r="R27" s="1656"/>
      <c r="AB27" s="862"/>
      <c r="AC27" s="801"/>
    </row>
    <row r="28" spans="3:56" ht="6" customHeight="1" thickBot="1">
      <c r="AB28" s="862"/>
      <c r="AC28" s="801"/>
    </row>
    <row r="29" spans="3:56" ht="15" customHeight="1" thickTop="1" thickBot="1">
      <c r="D29" s="85" t="s">
        <v>63</v>
      </c>
      <c r="E29" s="1603" t="s">
        <v>1681</v>
      </c>
      <c r="F29" s="1603"/>
      <c r="G29" s="1603"/>
      <c r="H29" s="1603"/>
      <c r="I29" s="1603"/>
      <c r="J29" s="1603"/>
      <c r="K29" s="1603"/>
      <c r="L29" s="1603"/>
      <c r="M29" s="1603"/>
      <c r="N29" s="1603"/>
      <c r="O29" s="1603"/>
      <c r="P29" s="1603"/>
      <c r="Q29" s="1603"/>
      <c r="R29" s="2094"/>
      <c r="S29" s="769" t="str">
        <f>IF(ISERROR(Z29),"",Z29)</f>
        <v/>
      </c>
      <c r="X29" s="425">
        <f>IF(ISERROR(AA29),0,AA29)</f>
        <v>0</v>
      </c>
      <c r="Y29" s="425">
        <f>IF(ISERROR(AB29),0,AB29)</f>
        <v>0</v>
      </c>
      <c r="Z29" s="768" t="e">
        <f>INDEX(Z61:Z115,MATCH(I17,X61:X115,0))</f>
        <v>#N/A</v>
      </c>
      <c r="AA29" s="860" t="e">
        <f>+AB29/2</f>
        <v>#N/A</v>
      </c>
      <c r="AB29" s="865" t="e">
        <f>INDEX(AA61:AA115,MATCH(I17,X61:X115,0))</f>
        <v>#N/A</v>
      </c>
      <c r="AC29" s="801"/>
    </row>
    <row r="30" spans="3:56" ht="6" customHeight="1" thickTop="1" thickBot="1">
      <c r="D30" s="85"/>
      <c r="E30" s="720"/>
      <c r="F30" s="720"/>
      <c r="H30" s="720"/>
      <c r="I30" s="720"/>
      <c r="J30" s="720"/>
      <c r="K30" s="720"/>
      <c r="L30" s="720"/>
      <c r="M30" s="108"/>
      <c r="N30" s="108"/>
      <c r="O30" s="8"/>
      <c r="P30" s="8"/>
      <c r="Q30" s="720"/>
      <c r="AB30" s="862"/>
      <c r="AC30" s="801"/>
    </row>
    <row r="31" spans="3:56" ht="14.25" thickTop="1" thickBot="1">
      <c r="D31" s="85" t="s">
        <v>64</v>
      </c>
      <c r="E31" s="1603" t="s">
        <v>1739</v>
      </c>
      <c r="F31" s="1603"/>
      <c r="G31" s="1603"/>
      <c r="H31" s="1603"/>
      <c r="I31" s="1603"/>
      <c r="J31" s="1603"/>
      <c r="K31" s="1603"/>
      <c r="L31" s="1603"/>
      <c r="M31" s="1603"/>
      <c r="N31" s="1603"/>
      <c r="O31" s="1603"/>
      <c r="P31" s="1603"/>
      <c r="Q31" s="1603"/>
      <c r="R31" s="2094"/>
      <c r="S31" s="769" t="str">
        <f>IF(ISERROR(Z31),"",Z31)</f>
        <v/>
      </c>
      <c r="X31" s="425">
        <f>IF(ISERROR(AA31),0,AA31)</f>
        <v>0</v>
      </c>
      <c r="Y31" s="425">
        <f>IF(ISERROR(AB31),0,AB31)</f>
        <v>0</v>
      </c>
      <c r="Z31" s="768" t="e">
        <f>INDEX(AC61:AC115,MATCH(I17,AB61:AB115,0))</f>
        <v>#N/A</v>
      </c>
      <c r="AA31" s="860" t="e">
        <f>+AB31/2</f>
        <v>#N/A</v>
      </c>
      <c r="AB31" s="865" t="e">
        <f>INDEX(AD61:AD115,MATCH(I17,AB61:AB115,0))</f>
        <v>#N/A</v>
      </c>
      <c r="AC31" s="801"/>
      <c r="AD31" s="4"/>
    </row>
    <row r="32" spans="3:56" ht="6" customHeight="1" thickTop="1" thickBot="1">
      <c r="AB32" s="862"/>
      <c r="AC32" s="801"/>
    </row>
    <row r="33" spans="3:56" ht="15" customHeight="1" thickBot="1">
      <c r="D33" s="85" t="s">
        <v>67</v>
      </c>
      <c r="E33" s="1603" t="s">
        <v>1680</v>
      </c>
      <c r="F33" s="1603"/>
      <c r="G33" s="1603"/>
      <c r="H33" s="1603"/>
      <c r="I33" s="1603"/>
      <c r="J33" s="1603"/>
      <c r="K33" s="1603"/>
      <c r="L33" s="1603"/>
      <c r="M33" s="1603"/>
      <c r="N33" s="1603"/>
      <c r="O33" s="1603"/>
      <c r="P33" s="1603"/>
      <c r="Q33" s="1607"/>
      <c r="R33" s="1607"/>
      <c r="S33" s="1607"/>
      <c r="U33" s="830">
        <f>(+X35*'FORM 1040-15'!$S$9)+(Y35*'FORM 1040-15'!$S$11)</f>
        <v>0</v>
      </c>
      <c r="X33" s="425">
        <f>IF(ISERROR(AA33),0,AA33)</f>
        <v>0</v>
      </c>
      <c r="Y33" s="425">
        <f>IF(ISERROR(AB33),0,AB33)</f>
        <v>0</v>
      </c>
      <c r="AA33" s="860" t="e">
        <f>+AB33/2</f>
        <v>#N/A</v>
      </c>
      <c r="AB33" s="866" t="e">
        <f>AVERAGE(AB29:AB31)</f>
        <v>#N/A</v>
      </c>
      <c r="AC33" s="704" t="s">
        <v>1741</v>
      </c>
    </row>
    <row r="34" spans="3:56" ht="6" customHeight="1" thickTop="1" thickBot="1">
      <c r="AB34" s="862"/>
      <c r="AC34" s="801"/>
    </row>
    <row r="35" spans="3:56" ht="15" customHeight="1" thickBot="1">
      <c r="C35" s="132">
        <v>6</v>
      </c>
      <c r="D35" s="1603" t="s">
        <v>1907</v>
      </c>
      <c r="E35" s="1603"/>
      <c r="F35" s="1603"/>
      <c r="G35" s="1603"/>
      <c r="H35" s="1603"/>
      <c r="I35" s="1603"/>
      <c r="J35" s="1603"/>
      <c r="K35" s="1603"/>
      <c r="L35" s="1603"/>
      <c r="M35" s="1603"/>
      <c r="N35" s="1603"/>
      <c r="O35" s="1603"/>
      <c r="P35" s="1603"/>
      <c r="Q35" s="1603"/>
      <c r="R35" s="1603"/>
      <c r="S35" s="1603"/>
      <c r="X35" s="425">
        <f>IF(Q33="FAMILY",AA29,IF(Q33="ELDERLY",AA31,IF(Q33="BOTH FAMILY &amp; ELDERLY",AA33,0)))</f>
        <v>0</v>
      </c>
      <c r="Y35" s="425">
        <f>IF(Q33="FAMILY",AB29,IF(Q33="ELDERLY",AB31,IF(Q33="BOTH FAMILY &amp; ELDERLY",AB33,0)))</f>
        <v>0</v>
      </c>
      <c r="AB35" s="862"/>
      <c r="AC35" s="801"/>
    </row>
    <row r="36" spans="3:56" s="720" customFormat="1" ht="6" customHeight="1" thickBot="1">
      <c r="G36" s="1546"/>
      <c r="U36" s="718"/>
      <c r="V36" s="718"/>
      <c r="W36" s="443"/>
      <c r="X36" s="801"/>
      <c r="Y36" s="801"/>
      <c r="AB36" s="862"/>
      <c r="AC36" s="801"/>
      <c r="BD36" s="6"/>
    </row>
    <row r="37" spans="3:56" s="720" customFormat="1" ht="26.1" customHeight="1" thickTop="1" thickBot="1">
      <c r="D37" s="206" t="s">
        <v>63</v>
      </c>
      <c r="E37" s="1656" t="s">
        <v>1908</v>
      </c>
      <c r="F37" s="1656"/>
      <c r="G37" s="1656"/>
      <c r="H37" s="1656"/>
      <c r="I37" s="1656"/>
      <c r="J37" s="1656"/>
      <c r="K37" s="1656"/>
      <c r="L37" s="1656"/>
      <c r="M37" s="1656"/>
      <c r="N37" s="1656"/>
      <c r="O37" s="1656"/>
      <c r="P37" s="1656"/>
      <c r="Q37" s="1656"/>
      <c r="R37" s="1656"/>
      <c r="S37" s="767" t="str">
        <f>IF(ISERROR(Z37),"",Z37)</f>
        <v/>
      </c>
      <c r="U37" s="830">
        <f>(+X37*'FORM 1040-15'!$S$9)+(Y37*'FORM 1040-15'!$S$11)</f>
        <v>0</v>
      </c>
      <c r="V37" s="718"/>
      <c r="W37" s="443"/>
      <c r="X37" s="425">
        <f>IF(ISERROR(AA37),0,AA37)</f>
        <v>0</v>
      </c>
      <c r="Y37" s="425">
        <f>IF(ISERROR(AB37),0,AB37)</f>
        <v>0</v>
      </c>
      <c r="Z37" s="765" t="e">
        <f t="array" ref="Z37">INDEX($AH$61:$BC$544,MATCH(1,($AH$61:$AH$544=$I$17)*($AI$61:$AI$544=$N$17),0),11)</f>
        <v>#N/A</v>
      </c>
      <c r="AA37" s="860" t="e">
        <f>+AB37/2</f>
        <v>#N/A</v>
      </c>
      <c r="AB37" s="865" t="e">
        <f t="array" ref="AB37">INDEX($AH$61:$BC$544,MATCH(1,($AH$61:$AH$544=$I$17)*($AI$61:$AI$544=$N$17),0),12)</f>
        <v>#N/A</v>
      </c>
      <c r="AC37" s="801"/>
      <c r="BD37" s="6"/>
    </row>
    <row r="38" spans="3:56" ht="6" customHeight="1" thickTop="1" thickBot="1">
      <c r="AB38" s="862"/>
      <c r="AC38" s="801"/>
    </row>
    <row r="39" spans="3:56" s="720" customFormat="1" ht="26.1" customHeight="1" thickTop="1" thickBot="1">
      <c r="D39" s="206" t="s">
        <v>64</v>
      </c>
      <c r="E39" s="1656" t="s">
        <v>1909</v>
      </c>
      <c r="F39" s="1656"/>
      <c r="G39" s="1656"/>
      <c r="H39" s="1656"/>
      <c r="I39" s="1656"/>
      <c r="J39" s="1656"/>
      <c r="K39" s="1656"/>
      <c r="L39" s="1656"/>
      <c r="M39" s="1656"/>
      <c r="N39" s="1656"/>
      <c r="O39" s="1656"/>
      <c r="P39" s="1656"/>
      <c r="Q39" s="1656"/>
      <c r="R39" s="1656"/>
      <c r="S39" s="767" t="str">
        <f>IF(ISERROR(Z39),"",Z39)</f>
        <v/>
      </c>
      <c r="U39" s="830">
        <f>(+X39*'FORM 1040-15'!$S$9)+(Y39*'FORM 1040-15'!$S$11)</f>
        <v>0</v>
      </c>
      <c r="V39" s="718"/>
      <c r="W39" s="443"/>
      <c r="X39" s="425">
        <f>IF(ISERROR(AA39),0,AA39)</f>
        <v>0</v>
      </c>
      <c r="Y39" s="425">
        <f>IF(ISERROR(AB39),0,AB39)</f>
        <v>0</v>
      </c>
      <c r="Z39" s="765" t="e">
        <f t="array" ref="Z39">INDEX($AH$61:$BC$544,MATCH(1,($AH$61:$AH$544=$I$17)*($AI$61:$AI$544=$N$17),0),13)</f>
        <v>#N/A</v>
      </c>
      <c r="AA39" s="860" t="e">
        <f>+AB39/2</f>
        <v>#N/A</v>
      </c>
      <c r="AB39" s="865" t="e">
        <f t="array" ref="AB39">INDEX($AH$61:$BC$544,MATCH(1,($AH$61:$AH$544=$I$17)*($AI$61:$AI$544=$N$17),0),14)</f>
        <v>#N/A</v>
      </c>
      <c r="AC39" s="801"/>
      <c r="BD39" s="6"/>
    </row>
    <row r="40" spans="3:56" ht="6" customHeight="1" thickTop="1" thickBot="1">
      <c r="AB40" s="862"/>
      <c r="AC40" s="801"/>
    </row>
    <row r="41" spans="3:56" s="720" customFormat="1" ht="26.1" customHeight="1" thickTop="1" thickBot="1">
      <c r="D41" s="206" t="s">
        <v>67</v>
      </c>
      <c r="E41" s="1656" t="s">
        <v>1910</v>
      </c>
      <c r="F41" s="1656"/>
      <c r="G41" s="1656"/>
      <c r="H41" s="1656"/>
      <c r="I41" s="1656"/>
      <c r="J41" s="1656"/>
      <c r="K41" s="1656"/>
      <c r="L41" s="1656"/>
      <c r="M41" s="1656"/>
      <c r="N41" s="1656"/>
      <c r="O41" s="1656"/>
      <c r="P41" s="1656"/>
      <c r="Q41" s="1656"/>
      <c r="R41" s="1656"/>
      <c r="S41" s="767" t="str">
        <f>IF(ISERROR(Z41),"",Z41)</f>
        <v/>
      </c>
      <c r="U41" s="830">
        <f>(+X41*'FORM 1040-15'!$S$9)+(Y41*'FORM 1040-15'!$S$11)</f>
        <v>0</v>
      </c>
      <c r="V41" s="718"/>
      <c r="W41" s="443"/>
      <c r="X41" s="425">
        <f>IF(ISERROR(AA41),0,AA41)</f>
        <v>0</v>
      </c>
      <c r="Y41" s="425">
        <f>IF(ISERROR(AB41),0,AB41)</f>
        <v>0</v>
      </c>
      <c r="Z41" s="765" t="e">
        <f t="array" ref="Z41">INDEX($AH$61:$BC$544,MATCH(1,($AH$61:$AH$544=$I$17)*($AI$61:$AI$544=$N$17),0),15)</f>
        <v>#N/A</v>
      </c>
      <c r="AA41" s="860" t="e">
        <f>+AB41/2</f>
        <v>#N/A</v>
      </c>
      <c r="AB41" s="865" t="e">
        <f t="array" ref="AB41">INDEX($AH$61:$BC$544,MATCH(1,($AH$61:$AH$544=$I$17)*($AI$61:$AI$544=$N$17),0),16)</f>
        <v>#N/A</v>
      </c>
      <c r="AC41" s="801"/>
      <c r="BD41" s="6"/>
    </row>
    <row r="42" spans="3:56" ht="6" customHeight="1" thickTop="1" thickBot="1">
      <c r="AB42" s="862"/>
      <c r="AC42" s="801"/>
    </row>
    <row r="43" spans="3:56" s="720" customFormat="1" ht="26.1" customHeight="1" thickTop="1" thickBot="1">
      <c r="D43" s="206" t="s">
        <v>92</v>
      </c>
      <c r="E43" s="1656" t="s">
        <v>2503</v>
      </c>
      <c r="F43" s="1656"/>
      <c r="G43" s="1656"/>
      <c r="H43" s="1656"/>
      <c r="I43" s="1656"/>
      <c r="J43" s="1656"/>
      <c r="K43" s="1656"/>
      <c r="L43" s="1656"/>
      <c r="M43" s="1656"/>
      <c r="N43" s="1656"/>
      <c r="O43" s="1656"/>
      <c r="P43" s="1656"/>
      <c r="Q43" s="1656"/>
      <c r="R43" s="1656"/>
      <c r="S43" s="767" t="str">
        <f>IF(ISERROR(Z43),"",Z43)</f>
        <v/>
      </c>
      <c r="U43" s="830">
        <f>(+X43*'FORM 1040-15'!$S$9)+(Y43*'FORM 1040-15'!$S$11)</f>
        <v>0</v>
      </c>
      <c r="V43" s="718"/>
      <c r="W43" s="443"/>
      <c r="X43" s="425">
        <f>IF(ISERROR(AA43),0,AA43)</f>
        <v>0</v>
      </c>
      <c r="Y43" s="425">
        <f>IF(ISERROR(AB43),0,AB43)</f>
        <v>0</v>
      </c>
      <c r="Z43" s="765" t="e">
        <f t="array" ref="Z43">INDEX($AH$61:$BC$544,MATCH(1,($AH$61:$AH$544=$I$17)*($AI$61:$AI$544=$N$17),0),17)</f>
        <v>#N/A</v>
      </c>
      <c r="AA43" s="860" t="e">
        <f>+AB43/2</f>
        <v>#N/A</v>
      </c>
      <c r="AB43" s="865" t="e">
        <f t="array" ref="AB43">INDEX($AH$61:$BC$544,MATCH(1,($AH$61:$AH$544=$I$17)*($AI$61:$AI$544=$N$17),0),18)</f>
        <v>#N/A</v>
      </c>
      <c r="AC43" s="801"/>
      <c r="BD43" s="6"/>
    </row>
    <row r="44" spans="3:56" ht="6" customHeight="1" thickTop="1" thickBot="1">
      <c r="AB44" s="862"/>
      <c r="AC44" s="801"/>
    </row>
    <row r="45" spans="3:56" s="720" customFormat="1" ht="26.1" customHeight="1" thickTop="1" thickBot="1">
      <c r="D45" s="206" t="s">
        <v>93</v>
      </c>
      <c r="E45" s="1656" t="s">
        <v>1911</v>
      </c>
      <c r="F45" s="1656"/>
      <c r="G45" s="1656"/>
      <c r="H45" s="1656"/>
      <c r="I45" s="1656"/>
      <c r="J45" s="1656"/>
      <c r="K45" s="1656"/>
      <c r="L45" s="1656"/>
      <c r="M45" s="1656"/>
      <c r="N45" s="1656"/>
      <c r="O45" s="1656"/>
      <c r="P45" s="1656"/>
      <c r="Q45" s="1656"/>
      <c r="R45" s="1656"/>
      <c r="S45" s="767" t="str">
        <f>IF(ISERROR(Z45),"",Z45)</f>
        <v/>
      </c>
      <c r="U45" s="830">
        <f>(+X45*'FORM 1040-15'!$S$9)+(Y45*'FORM 1040-15'!$S$11)</f>
        <v>0</v>
      </c>
      <c r="V45" s="718"/>
      <c r="W45" s="443"/>
      <c r="X45" s="425">
        <f>IF(ISERROR(AA45),0,AA45)</f>
        <v>0</v>
      </c>
      <c r="Y45" s="425">
        <f>IF(ISERROR(AB45),0,AB45)</f>
        <v>0</v>
      </c>
      <c r="Z45" s="765" t="e">
        <f t="array" ref="Z45">INDEX($AH$61:$BC$544,MATCH(1,($AH$61:$AH$544=$I$17)*($AI$61:$AI$544=$N$17),0),19)</f>
        <v>#N/A</v>
      </c>
      <c r="AA45" s="860" t="e">
        <f>+AB45/2</f>
        <v>#N/A</v>
      </c>
      <c r="AB45" s="865" t="e">
        <f t="array" ref="AB45">INDEX($AH$61:$BC$544,MATCH(1,($AH$61:$AH$544=$I$17)*($AI$61:$AI$544=$N$17),0),20)</f>
        <v>#N/A</v>
      </c>
      <c r="AC45" s="801"/>
      <c r="BD45" s="6"/>
    </row>
    <row r="46" spans="3:56" ht="6" customHeight="1" thickTop="1" thickBot="1">
      <c r="AB46" s="862"/>
      <c r="AC46" s="801"/>
    </row>
    <row r="47" spans="3:56" s="720" customFormat="1" ht="39" customHeight="1" thickTop="1" thickBot="1">
      <c r="D47" s="206" t="s">
        <v>281</v>
      </c>
      <c r="E47" s="1656" t="s">
        <v>1912</v>
      </c>
      <c r="F47" s="1656"/>
      <c r="G47" s="1656"/>
      <c r="H47" s="1656"/>
      <c r="I47" s="1656"/>
      <c r="J47" s="1656"/>
      <c r="K47" s="1656"/>
      <c r="L47" s="1656"/>
      <c r="M47" s="1656"/>
      <c r="N47" s="1656"/>
      <c r="O47" s="1656"/>
      <c r="P47" s="1656"/>
      <c r="Q47" s="1656"/>
      <c r="R47" s="1656"/>
      <c r="S47" s="767" t="str">
        <f>IF(ISERROR(Z47),"",Z47)</f>
        <v/>
      </c>
      <c r="U47" s="830">
        <f>(+X47*'FORM 1040-15'!$S$9)+(Y47*'FORM 1040-15'!$S$11)</f>
        <v>0</v>
      </c>
      <c r="V47" s="1218">
        <f>+U19+U21+U23+U25+U37+U39+U41+U43+U45+U47</f>
        <v>0</v>
      </c>
      <c r="W47" s="443"/>
      <c r="X47" s="425">
        <f>IF(ISERROR(AA47),0,AA47)</f>
        <v>0</v>
      </c>
      <c r="Y47" s="425">
        <f>IF(ISERROR(AB47),0,AB47)</f>
        <v>0</v>
      </c>
      <c r="Z47" s="765" t="e">
        <f t="array" ref="Z47">INDEX($AH$61:$BC$544,MATCH(1,($AH$61:$AH$544=$I$17)*($AI$61:$AI$544=$N$17),0),21)</f>
        <v>#N/A</v>
      </c>
      <c r="AA47" s="860" t="e">
        <f>+AB47/2</f>
        <v>#N/A</v>
      </c>
      <c r="AB47" s="865" t="e">
        <f t="array" ref="AB47">INDEX($AH$61:$BC$544,MATCH(1,($AH$61:$AH$544=$I$17)*($AI$61:$AI$544=$N$17),0),22)</f>
        <v>#N/A</v>
      </c>
      <c r="AC47" s="801"/>
      <c r="BD47" s="6"/>
    </row>
    <row r="48" spans="3:56" ht="6" customHeight="1" thickTop="1">
      <c r="AB48" s="862"/>
      <c r="AC48" s="801"/>
    </row>
    <row r="49" spans="3:56" s="1546" customFormat="1" ht="26.1" customHeight="1">
      <c r="D49" s="206" t="s">
        <v>282</v>
      </c>
      <c r="E49" s="1668" t="s">
        <v>2848</v>
      </c>
      <c r="F49" s="1668"/>
      <c r="G49" s="1668"/>
      <c r="H49" s="1668"/>
      <c r="I49" s="1668"/>
      <c r="J49" s="1668"/>
      <c r="K49" s="1668"/>
      <c r="L49" s="1668"/>
      <c r="M49" s="1668"/>
      <c r="N49" s="1668"/>
      <c r="O49" s="1668"/>
      <c r="P49" s="1668"/>
      <c r="Q49" s="1668"/>
      <c r="R49" s="1668"/>
      <c r="S49" s="1668"/>
      <c r="U49" s="1548"/>
      <c r="V49" s="1548"/>
      <c r="W49" s="443"/>
      <c r="X49" s="1548"/>
      <c r="Y49" s="1548"/>
      <c r="AB49" s="1549"/>
      <c r="AC49" s="1548"/>
      <c r="BD49" s="6"/>
    </row>
    <row r="50" spans="3:56" s="1546" customFormat="1" ht="6" customHeight="1">
      <c r="U50" s="1548"/>
      <c r="V50" s="1548"/>
      <c r="W50" s="443"/>
      <c r="X50" s="1548"/>
      <c r="Y50" s="1548"/>
      <c r="AB50" s="1549"/>
      <c r="AC50" s="1548"/>
      <c r="BD50" s="6"/>
    </row>
    <row r="51" spans="3:56" s="1562" customFormat="1" ht="41.25" customHeight="1" thickBot="1">
      <c r="E51" s="1656" t="s">
        <v>2844</v>
      </c>
      <c r="F51" s="1656"/>
      <c r="G51" s="1656"/>
      <c r="H51" s="1656"/>
      <c r="I51" s="1656"/>
      <c r="J51" s="1656"/>
      <c r="K51" s="1656"/>
      <c r="L51" s="1656"/>
      <c r="M51" s="1656"/>
      <c r="N51" s="1656"/>
      <c r="O51" s="1656"/>
      <c r="P51" s="1656"/>
      <c r="Q51" s="1656"/>
      <c r="R51" s="1656"/>
      <c r="S51" s="1561"/>
      <c r="U51" s="1559"/>
      <c r="V51" s="1559"/>
      <c r="W51" s="443"/>
      <c r="X51" s="1559"/>
      <c r="Y51" s="1559"/>
      <c r="AB51" s="1560"/>
      <c r="AC51" s="1559"/>
      <c r="BD51" s="6"/>
    </row>
    <row r="52" spans="3:56" s="1562" customFormat="1" ht="6" customHeight="1" thickTop="1">
      <c r="U52" s="1559"/>
      <c r="V52" s="1559"/>
      <c r="W52" s="443"/>
      <c r="X52" s="1559"/>
      <c r="Y52" s="1559"/>
      <c r="AB52" s="1560"/>
      <c r="AC52" s="1559"/>
      <c r="BD52" s="6"/>
    </row>
    <row r="53" spans="3:56" s="720" customFormat="1" ht="26.1" customHeight="1">
      <c r="C53" s="158"/>
      <c r="E53" s="206" t="s">
        <v>316</v>
      </c>
      <c r="F53" s="1656" t="s">
        <v>2841</v>
      </c>
      <c r="G53" s="1656"/>
      <c r="H53" s="1656"/>
      <c r="I53" s="1656"/>
      <c r="J53" s="1656"/>
      <c r="K53" s="1656"/>
      <c r="L53" s="1656"/>
      <c r="M53" s="1656"/>
      <c r="N53" s="1656"/>
      <c r="O53" s="1656"/>
      <c r="P53" s="1656"/>
      <c r="Q53" s="1656"/>
      <c r="R53" s="1656"/>
      <c r="S53" s="1656"/>
      <c r="U53" s="718"/>
      <c r="V53" s="718"/>
      <c r="W53" s="443"/>
      <c r="X53" s="801"/>
      <c r="Y53" s="801"/>
      <c r="AB53" s="862"/>
      <c r="AC53" s="801"/>
      <c r="BD53" s="6"/>
    </row>
    <row r="54" spans="3:56" ht="6" customHeight="1" thickBot="1">
      <c r="AB54" s="862"/>
      <c r="AC54" s="801"/>
    </row>
    <row r="55" spans="3:56" ht="18" customHeight="1" thickBot="1">
      <c r="D55" s="85"/>
      <c r="E55" s="85"/>
      <c r="F55" s="1553" t="s">
        <v>2799</v>
      </c>
      <c r="G55" s="1593" t="s">
        <v>1025</v>
      </c>
      <c r="H55" s="1593"/>
      <c r="I55" s="1593"/>
      <c r="J55" s="2106"/>
      <c r="K55" s="2106"/>
      <c r="L55" s="2106"/>
      <c r="M55" s="2106"/>
      <c r="N55" s="2106"/>
      <c r="O55" s="2106"/>
      <c r="P55" s="2106"/>
      <c r="Q55" s="1597" t="s">
        <v>1779</v>
      </c>
      <c r="R55" s="1597"/>
      <c r="S55" s="717" t="str">
        <f>IF(ISERROR(Z55),"",Z55)</f>
        <v/>
      </c>
      <c r="U55" s="830">
        <f>IF(S51=TRUE,0,((+X55*'FORM 1040-15'!$S$9)+(Y55*'FORM 1040-15'!$S$11)))</f>
        <v>0</v>
      </c>
      <c r="X55" s="425">
        <f>IF(ISERROR(AA55),0,AA55)</f>
        <v>0</v>
      </c>
      <c r="Y55" s="425">
        <f>IF(ISERROR(AB55),0,AB55)</f>
        <v>0</v>
      </c>
      <c r="Z55" s="768" t="e">
        <f>INDEX($AF$61:$AF$723,MATCH(J55,$AE$61:$AE$723,0))</f>
        <v>#N/A</v>
      </c>
      <c r="AA55" s="860" t="e">
        <f>+AB55/2</f>
        <v>#N/A</v>
      </c>
      <c r="AB55" s="861" t="e">
        <f>IF(Z55="A",5,IF(Z55="B",4,IF(Z55="C",3,IF(Z55="D",2,IF(Z55="F",1,)))))</f>
        <v>#N/A</v>
      </c>
      <c r="AC55" s="801"/>
    </row>
    <row r="56" spans="3:56" ht="6" customHeight="1" thickTop="1" thickBot="1">
      <c r="D56" s="85"/>
      <c r="F56" s="719"/>
      <c r="G56" s="1547"/>
      <c r="H56" s="719"/>
      <c r="I56" s="719"/>
      <c r="J56" s="719"/>
      <c r="AA56" s="860"/>
      <c r="AB56" s="862"/>
      <c r="AC56" s="801"/>
    </row>
    <row r="57" spans="3:56" ht="18" customHeight="1" thickBot="1">
      <c r="D57" s="85"/>
      <c r="E57" s="85"/>
      <c r="F57" s="1553" t="s">
        <v>2800</v>
      </c>
      <c r="G57" s="1593" t="s">
        <v>1026</v>
      </c>
      <c r="H57" s="2110"/>
      <c r="I57" s="2110"/>
      <c r="J57" s="2106"/>
      <c r="K57" s="2106"/>
      <c r="L57" s="2106"/>
      <c r="M57" s="2106"/>
      <c r="N57" s="2106"/>
      <c r="O57" s="2106"/>
      <c r="P57" s="2106"/>
      <c r="Q57" s="1597" t="s">
        <v>1779</v>
      </c>
      <c r="R57" s="1597"/>
      <c r="S57" s="717" t="str">
        <f>IF(ISERROR(Z57),"",Z57)</f>
        <v/>
      </c>
      <c r="U57" s="830">
        <f>IF(S51=TRUE,0,((+X57*'FORM 1040-15'!$S$9)+(Y57*'FORM 1040-15'!$S$11)))</f>
        <v>0</v>
      </c>
      <c r="X57" s="425">
        <f>IF(ISERROR(AA57),0,AA57)</f>
        <v>0</v>
      </c>
      <c r="Y57" s="425">
        <f>IF(ISERROR(AB57),0,AB57)</f>
        <v>0</v>
      </c>
      <c r="Z57" s="768" t="e">
        <f>INDEX($AF$61:$AF$723,MATCH(J57,$AE$61:$AE$723,0))</f>
        <v>#N/A</v>
      </c>
      <c r="AA57" s="860" t="e">
        <f>+AB57/2</f>
        <v>#N/A</v>
      </c>
      <c r="AB57" s="861" t="e">
        <f>IF(Z57="A",5,IF(Z57="B",4,IF(Z57="C",3,IF(Z57="D",2,IF(Z57="F",1,)))))</f>
        <v>#N/A</v>
      </c>
      <c r="AC57" s="801"/>
    </row>
    <row r="58" spans="3:56" ht="6" customHeight="1" thickTop="1" thickBot="1">
      <c r="D58" s="720"/>
      <c r="F58" s="719"/>
      <c r="G58" s="1547"/>
      <c r="H58" s="719"/>
      <c r="I58" s="719"/>
      <c r="J58" s="719"/>
      <c r="AA58" s="860"/>
      <c r="AB58" s="862"/>
      <c r="AC58" s="801"/>
    </row>
    <row r="59" spans="3:56" ht="18" customHeight="1" thickBot="1">
      <c r="D59" s="85"/>
      <c r="E59" s="85"/>
      <c r="F59" s="1553" t="s">
        <v>2801</v>
      </c>
      <c r="G59" s="1593" t="s">
        <v>1027</v>
      </c>
      <c r="H59" s="2110"/>
      <c r="I59" s="2110"/>
      <c r="J59" s="2106"/>
      <c r="K59" s="2106"/>
      <c r="L59" s="2106"/>
      <c r="M59" s="2106"/>
      <c r="N59" s="2106"/>
      <c r="O59" s="2106"/>
      <c r="P59" s="2106"/>
      <c r="Q59" s="1597" t="s">
        <v>1779</v>
      </c>
      <c r="R59" s="1597"/>
      <c r="S59" s="717" t="str">
        <f>IF(ISERROR(Z59),"",Z59)</f>
        <v/>
      </c>
      <c r="U59" s="830">
        <f>IF(S51=TRUE,0,((+X59*'FORM 1040-15'!$S$9)+(Y59*'FORM 1040-15'!$S$11)))</f>
        <v>0</v>
      </c>
      <c r="V59" s="1218">
        <f>+U59+U57+U55</f>
        <v>0</v>
      </c>
      <c r="X59" s="425">
        <f>IF(ISERROR(AA59),0,AA59)</f>
        <v>0</v>
      </c>
      <c r="Y59" s="425">
        <f>IF(ISERROR(AB59),0,AB59)</f>
        <v>0</v>
      </c>
      <c r="Z59" s="768" t="e">
        <f>INDEX($AF$61:$AF$723,MATCH(J59,$AE$61:$AE$723,0))</f>
        <v>#N/A</v>
      </c>
      <c r="AA59" s="860" t="e">
        <f>+AB59/2</f>
        <v>#N/A</v>
      </c>
      <c r="AB59" s="861" t="e">
        <f>IF(Z59="A",10,IF(Z59="B",8,IF(Z59="C",6,IF(Z59="D",4,IF(Z59="F",2,)))))</f>
        <v>#N/A</v>
      </c>
      <c r="AC59" s="801"/>
      <c r="AD59" s="913">
        <f>+U55+U57+U59</f>
        <v>0</v>
      </c>
      <c r="AE59" s="704" t="s">
        <v>2022</v>
      </c>
    </row>
    <row r="60" spans="3:56" ht="13.5" thickTop="1">
      <c r="Z60" s="1597" t="s">
        <v>1737</v>
      </c>
      <c r="AA60" s="1597"/>
      <c r="AB60" s="4"/>
      <c r="AC60" s="1597" t="s">
        <v>1738</v>
      </c>
      <c r="AD60" s="1597"/>
      <c r="AE60" s="694"/>
      <c r="AF60" s="694"/>
      <c r="AG60" s="694"/>
    </row>
    <row r="61" spans="3:56" s="704" customFormat="1">
      <c r="G61" s="1546"/>
      <c r="W61" s="6"/>
      <c r="X61" s="829" t="s">
        <v>1682</v>
      </c>
      <c r="Y61" s="829"/>
      <c r="Z61" s="741">
        <v>30</v>
      </c>
      <c r="AA61" s="742">
        <v>6</v>
      </c>
      <c r="AB61" s="740" t="s">
        <v>1682</v>
      </c>
      <c r="AC61" s="742">
        <v>40</v>
      </c>
      <c r="AD61" s="742">
        <v>4</v>
      </c>
      <c r="AE61" s="770" t="s">
        <v>1028</v>
      </c>
      <c r="AF61" s="771" t="s">
        <v>653</v>
      </c>
      <c r="AG61" s="742"/>
      <c r="AH61" s="454" t="s">
        <v>421</v>
      </c>
      <c r="AI61" s="455">
        <v>9655</v>
      </c>
      <c r="AJ61" s="724">
        <v>4.3547530536378123E-2</v>
      </c>
      <c r="AK61" s="725">
        <v>24</v>
      </c>
      <c r="AL61" s="726">
        <v>39580</v>
      </c>
      <c r="AM61" s="725">
        <v>16</v>
      </c>
      <c r="AN61" s="727">
        <v>0.44699999999999995</v>
      </c>
      <c r="AO61" s="725">
        <v>10</v>
      </c>
      <c r="AP61" s="727">
        <v>2.6000000000000002E-2</v>
      </c>
      <c r="AQ61" s="725">
        <v>18</v>
      </c>
      <c r="AR61" s="728">
        <v>0.77400000000000002</v>
      </c>
      <c r="AS61" s="729">
        <v>9</v>
      </c>
      <c r="AT61" s="728">
        <v>1.4999999999999999E-2</v>
      </c>
      <c r="AU61" s="730">
        <v>9</v>
      </c>
      <c r="AV61" s="731">
        <v>0.10400000000000001</v>
      </c>
      <c r="AW61" s="730">
        <v>9</v>
      </c>
      <c r="AX61" s="732">
        <v>0.14699999999999999</v>
      </c>
      <c r="AY61" s="730">
        <v>8</v>
      </c>
      <c r="AZ61" s="728">
        <v>7.2999999999999995E-2</v>
      </c>
      <c r="BA61" s="730">
        <v>8</v>
      </c>
      <c r="BB61" s="733">
        <v>9.1999999999999998E-2</v>
      </c>
      <c r="BC61" s="730">
        <v>3</v>
      </c>
      <c r="BD61" s="6"/>
    </row>
    <row r="62" spans="3:56" s="704" customFormat="1">
      <c r="G62" s="1546"/>
      <c r="W62" s="6"/>
      <c r="X62" s="829" t="s">
        <v>1683</v>
      </c>
      <c r="Y62" s="829"/>
      <c r="Z62" s="741">
        <v>13</v>
      </c>
      <c r="AA62" s="742">
        <v>10</v>
      </c>
      <c r="AB62" s="740" t="s">
        <v>1683</v>
      </c>
      <c r="AC62" s="742">
        <v>15</v>
      </c>
      <c r="AD62" s="742">
        <v>10</v>
      </c>
      <c r="AE62" s="770" t="s">
        <v>1029</v>
      </c>
      <c r="AF62" s="771" t="s">
        <v>653</v>
      </c>
      <c r="AG62" s="742"/>
      <c r="AH62" s="454" t="s">
        <v>421</v>
      </c>
      <c r="AI62" s="455">
        <v>9656</v>
      </c>
      <c r="AJ62" s="724">
        <v>4.3547530536378123E-2</v>
      </c>
      <c r="AK62" s="725">
        <v>24</v>
      </c>
      <c r="AL62" s="726">
        <v>39580</v>
      </c>
      <c r="AM62" s="725">
        <v>16</v>
      </c>
      <c r="AN62" s="727">
        <v>0.44699999999999995</v>
      </c>
      <c r="AO62" s="725">
        <v>10</v>
      </c>
      <c r="AP62" s="727">
        <v>2.6000000000000002E-2</v>
      </c>
      <c r="AQ62" s="725">
        <v>18</v>
      </c>
      <c r="AR62" s="728">
        <v>0.51200000000000001</v>
      </c>
      <c r="AS62" s="729">
        <v>6</v>
      </c>
      <c r="AT62" s="728">
        <v>0</v>
      </c>
      <c r="AU62" s="730">
        <v>10</v>
      </c>
      <c r="AV62" s="731">
        <v>0.34499999999999997</v>
      </c>
      <c r="AW62" s="730">
        <v>6</v>
      </c>
      <c r="AX62" s="728">
        <v>0.20699999999999999</v>
      </c>
      <c r="AY62" s="730">
        <v>7</v>
      </c>
      <c r="AZ62" s="728">
        <v>0.08</v>
      </c>
      <c r="BA62" s="730">
        <v>8</v>
      </c>
      <c r="BB62" s="733">
        <v>0.124</v>
      </c>
      <c r="BC62" s="730">
        <v>4</v>
      </c>
      <c r="BD62" s="6"/>
    </row>
    <row r="63" spans="3:56" s="704" customFormat="1">
      <c r="G63" s="1546"/>
      <c r="W63" s="6"/>
      <c r="X63" s="829" t="s">
        <v>1684</v>
      </c>
      <c r="Y63" s="829"/>
      <c r="Z63" s="741">
        <v>54</v>
      </c>
      <c r="AA63" s="742">
        <v>1</v>
      </c>
      <c r="AB63" s="740" t="s">
        <v>1684</v>
      </c>
      <c r="AC63" s="742">
        <v>54</v>
      </c>
      <c r="AD63" s="742">
        <v>1</v>
      </c>
      <c r="AE63" s="770" t="s">
        <v>1030</v>
      </c>
      <c r="AF63" s="771" t="s">
        <v>653</v>
      </c>
      <c r="AG63" s="742"/>
      <c r="AH63" s="454" t="s">
        <v>421</v>
      </c>
      <c r="AI63" s="455">
        <v>9657</v>
      </c>
      <c r="AJ63" s="724">
        <v>4.3547530536378123E-2</v>
      </c>
      <c r="AK63" s="725">
        <v>24</v>
      </c>
      <c r="AL63" s="726">
        <v>39580</v>
      </c>
      <c r="AM63" s="725">
        <v>16</v>
      </c>
      <c r="AN63" s="727">
        <v>0.44699999999999995</v>
      </c>
      <c r="AO63" s="725">
        <v>10</v>
      </c>
      <c r="AP63" s="727">
        <v>2.6000000000000002E-2</v>
      </c>
      <c r="AQ63" s="725">
        <v>18</v>
      </c>
      <c r="AR63" s="728">
        <v>0.82799999999999996</v>
      </c>
      <c r="AS63" s="729">
        <v>9</v>
      </c>
      <c r="AT63" s="728">
        <v>1.4999999999999999E-2</v>
      </c>
      <c r="AU63" s="730">
        <v>9</v>
      </c>
      <c r="AV63" s="731">
        <v>0.21299999999999999</v>
      </c>
      <c r="AW63" s="730">
        <v>8</v>
      </c>
      <c r="AX63" s="728">
        <v>0.16</v>
      </c>
      <c r="AY63" s="730">
        <v>8</v>
      </c>
      <c r="AZ63" s="728">
        <v>7.9000000000000001E-2</v>
      </c>
      <c r="BA63" s="730">
        <v>8</v>
      </c>
      <c r="BB63" s="733">
        <v>0.11599999999999999</v>
      </c>
      <c r="BC63" s="730">
        <v>4</v>
      </c>
      <c r="BD63" s="6"/>
    </row>
    <row r="64" spans="3:56" s="704" customFormat="1">
      <c r="G64" s="1546"/>
      <c r="W64" s="6"/>
      <c r="X64" s="829" t="s">
        <v>1685</v>
      </c>
      <c r="Y64" s="829"/>
      <c r="Z64" s="741">
        <v>19</v>
      </c>
      <c r="AA64" s="742">
        <v>8</v>
      </c>
      <c r="AB64" s="740" t="s">
        <v>1685</v>
      </c>
      <c r="AC64" s="742">
        <v>21</v>
      </c>
      <c r="AD64" s="742">
        <v>7</v>
      </c>
      <c r="AE64" s="770" t="s">
        <v>2504</v>
      </c>
      <c r="AF64" s="771" t="s">
        <v>1450</v>
      </c>
      <c r="AG64" s="742"/>
      <c r="AH64" s="454" t="s">
        <v>421</v>
      </c>
      <c r="AI64" s="455">
        <v>9658</v>
      </c>
      <c r="AJ64" s="724">
        <v>4.3547530536378123E-2</v>
      </c>
      <c r="AK64" s="725">
        <v>24</v>
      </c>
      <c r="AL64" s="726">
        <v>39580</v>
      </c>
      <c r="AM64" s="725">
        <v>16</v>
      </c>
      <c r="AN64" s="727">
        <v>0.44699999999999995</v>
      </c>
      <c r="AO64" s="725">
        <v>10</v>
      </c>
      <c r="AP64" s="727">
        <v>2.6000000000000002E-2</v>
      </c>
      <c r="AQ64" s="725">
        <v>18</v>
      </c>
      <c r="AR64" s="728">
        <v>0.68900000000000006</v>
      </c>
      <c r="AS64" s="729">
        <v>8</v>
      </c>
      <c r="AT64" s="728">
        <v>1.2E-2</v>
      </c>
      <c r="AU64" s="730">
        <v>9</v>
      </c>
      <c r="AV64" s="731">
        <v>0.28699999999999998</v>
      </c>
      <c r="AW64" s="730">
        <v>7</v>
      </c>
      <c r="AX64" s="728">
        <v>0.19699999999999998</v>
      </c>
      <c r="AY64" s="730">
        <v>7</v>
      </c>
      <c r="AZ64" s="728">
        <v>6.4000000000000001E-2</v>
      </c>
      <c r="BA64" s="730">
        <v>8</v>
      </c>
      <c r="BB64" s="733">
        <v>8.8000000000000009E-2</v>
      </c>
      <c r="BC64" s="730">
        <v>3</v>
      </c>
      <c r="BD64" s="6"/>
    </row>
    <row r="65" spans="7:56" s="704" customFormat="1">
      <c r="G65" s="1546"/>
      <c r="W65" s="6"/>
      <c r="X65" s="829" t="s">
        <v>1686</v>
      </c>
      <c r="Y65" s="829"/>
      <c r="Z65" s="741">
        <v>36</v>
      </c>
      <c r="AA65" s="742">
        <v>4</v>
      </c>
      <c r="AB65" s="740" t="s">
        <v>1686</v>
      </c>
      <c r="AC65" s="742">
        <v>30</v>
      </c>
      <c r="AD65" s="742">
        <v>6</v>
      </c>
      <c r="AE65" s="770" t="s">
        <v>1031</v>
      </c>
      <c r="AF65" s="771" t="s">
        <v>653</v>
      </c>
      <c r="AG65" s="742"/>
      <c r="AH65" s="454" t="s">
        <v>422</v>
      </c>
      <c r="AI65" s="455">
        <v>9711.01</v>
      </c>
      <c r="AJ65" s="724">
        <v>0.11532286835533358</v>
      </c>
      <c r="AK65" s="725">
        <v>9</v>
      </c>
      <c r="AL65" s="726">
        <v>60615</v>
      </c>
      <c r="AM65" s="725">
        <v>8</v>
      </c>
      <c r="AN65" s="727">
        <v>0.46100000000000002</v>
      </c>
      <c r="AO65" s="725">
        <v>12</v>
      </c>
      <c r="AP65" s="727">
        <v>6.7000000000000004E-2</v>
      </c>
      <c r="AQ65" s="725">
        <v>14</v>
      </c>
      <c r="AR65" s="728">
        <v>0.80400000000000005</v>
      </c>
      <c r="AS65" s="729">
        <v>9</v>
      </c>
      <c r="AT65" s="728">
        <v>6.9999999999999993E-3</v>
      </c>
      <c r="AU65" s="730">
        <v>10</v>
      </c>
      <c r="AV65" s="734">
        <v>6.9000000000000006E-2</v>
      </c>
      <c r="AW65" s="730">
        <v>10</v>
      </c>
      <c r="AX65" s="728">
        <v>7.400000000000001E-2</v>
      </c>
      <c r="AY65" s="730">
        <v>9</v>
      </c>
      <c r="AZ65" s="728">
        <v>1.7000000000000001E-2</v>
      </c>
      <c r="BA65" s="730">
        <v>10</v>
      </c>
      <c r="BB65" s="733">
        <v>0.129</v>
      </c>
      <c r="BC65" s="730">
        <v>4</v>
      </c>
      <c r="BD65" s="6"/>
    </row>
    <row r="66" spans="7:56" s="704" customFormat="1">
      <c r="G66" s="1546"/>
      <c r="W66" s="6"/>
      <c r="X66" s="829" t="s">
        <v>1687</v>
      </c>
      <c r="Y66" s="829"/>
      <c r="Z66" s="741">
        <v>1</v>
      </c>
      <c r="AA66" s="742">
        <v>20</v>
      </c>
      <c r="AB66" s="740" t="s">
        <v>1687</v>
      </c>
      <c r="AC66" s="742">
        <v>1</v>
      </c>
      <c r="AD66" s="742">
        <v>20</v>
      </c>
      <c r="AE66" s="770" t="s">
        <v>1032</v>
      </c>
      <c r="AF66" s="771" t="s">
        <v>1450</v>
      </c>
      <c r="AG66" s="742"/>
      <c r="AH66" s="454" t="s">
        <v>422</v>
      </c>
      <c r="AI66" s="455">
        <v>9711.02</v>
      </c>
      <c r="AJ66" s="724">
        <v>0.11532286835533358</v>
      </c>
      <c r="AK66" s="725">
        <v>9</v>
      </c>
      <c r="AL66" s="726">
        <v>60615</v>
      </c>
      <c r="AM66" s="725">
        <v>8</v>
      </c>
      <c r="AN66" s="727">
        <v>0.46100000000000002</v>
      </c>
      <c r="AO66" s="725">
        <v>12</v>
      </c>
      <c r="AP66" s="727">
        <v>6.7000000000000004E-2</v>
      </c>
      <c r="AQ66" s="725">
        <v>14</v>
      </c>
      <c r="AR66" s="728">
        <v>0.79700000000000004</v>
      </c>
      <c r="AS66" s="729">
        <v>9</v>
      </c>
      <c r="AT66" s="728">
        <v>3.7999999999999999E-2</v>
      </c>
      <c r="AU66" s="730">
        <v>7</v>
      </c>
      <c r="AV66" s="734">
        <v>8.5999999999999993E-2</v>
      </c>
      <c r="AW66" s="730">
        <v>9</v>
      </c>
      <c r="AX66" s="728">
        <v>8.1000000000000003E-2</v>
      </c>
      <c r="AY66" s="730">
        <v>9</v>
      </c>
      <c r="AZ66" s="728">
        <v>5.2999999999999999E-2</v>
      </c>
      <c r="BA66" s="730">
        <v>9</v>
      </c>
      <c r="BB66" s="733">
        <v>0.13200000000000001</v>
      </c>
      <c r="BC66" s="730">
        <v>4</v>
      </c>
      <c r="BD66" s="6"/>
    </row>
    <row r="67" spans="7:56" s="704" customFormat="1">
      <c r="G67" s="1546"/>
      <c r="W67" s="6"/>
      <c r="X67" s="829" t="s">
        <v>1688</v>
      </c>
      <c r="Y67" s="829"/>
      <c r="Z67" s="741">
        <v>34</v>
      </c>
      <c r="AA67" s="742">
        <v>5</v>
      </c>
      <c r="AB67" s="740" t="s">
        <v>1688</v>
      </c>
      <c r="AC67" s="742">
        <v>38</v>
      </c>
      <c r="AD67" s="742">
        <v>4</v>
      </c>
      <c r="AE67" s="770" t="s">
        <v>1033</v>
      </c>
      <c r="AF67" s="771" t="s">
        <v>1450</v>
      </c>
      <c r="AG67" s="742"/>
      <c r="AH67" s="454" t="s">
        <v>422</v>
      </c>
      <c r="AI67" s="455">
        <v>9712.01</v>
      </c>
      <c r="AJ67" s="724">
        <v>0.11532286835533358</v>
      </c>
      <c r="AK67" s="725">
        <v>9</v>
      </c>
      <c r="AL67" s="726">
        <v>60615</v>
      </c>
      <c r="AM67" s="725">
        <v>8</v>
      </c>
      <c r="AN67" s="727">
        <v>0.46100000000000002</v>
      </c>
      <c r="AO67" s="725">
        <v>12</v>
      </c>
      <c r="AP67" s="727">
        <v>6.7000000000000004E-2</v>
      </c>
      <c r="AQ67" s="725">
        <v>14</v>
      </c>
      <c r="AR67" s="728">
        <v>0.84200000000000008</v>
      </c>
      <c r="AS67" s="729">
        <v>9</v>
      </c>
      <c r="AT67" s="728">
        <v>0.01</v>
      </c>
      <c r="AU67" s="730">
        <v>10</v>
      </c>
      <c r="AV67" s="734">
        <v>7.9000000000000001E-2</v>
      </c>
      <c r="AW67" s="730">
        <v>10</v>
      </c>
      <c r="AX67" s="728">
        <v>8.5000000000000006E-2</v>
      </c>
      <c r="AY67" s="730">
        <v>9</v>
      </c>
      <c r="AZ67" s="728">
        <v>0.05</v>
      </c>
      <c r="BA67" s="730">
        <v>9</v>
      </c>
      <c r="BB67" s="733">
        <v>0.17699999999999999</v>
      </c>
      <c r="BC67" s="730">
        <v>5</v>
      </c>
      <c r="BD67" s="6"/>
    </row>
    <row r="68" spans="7:56" s="704" customFormat="1">
      <c r="G68" s="1546"/>
      <c r="W68" s="6"/>
      <c r="X68" s="829" t="s">
        <v>1689</v>
      </c>
      <c r="Y68" s="829"/>
      <c r="Z68" s="741">
        <v>21</v>
      </c>
      <c r="AA68" s="742">
        <v>7</v>
      </c>
      <c r="AB68" s="740" t="s">
        <v>1689</v>
      </c>
      <c r="AC68" s="742">
        <v>13</v>
      </c>
      <c r="AD68" s="742">
        <v>10</v>
      </c>
      <c r="AE68" s="770" t="s">
        <v>1034</v>
      </c>
      <c r="AF68" s="771" t="s">
        <v>1450</v>
      </c>
      <c r="AG68" s="742"/>
      <c r="AH68" s="454" t="s">
        <v>422</v>
      </c>
      <c r="AI68" s="455">
        <v>9712.02</v>
      </c>
      <c r="AJ68" s="724">
        <v>0.11532286835533358</v>
      </c>
      <c r="AK68" s="725">
        <v>9</v>
      </c>
      <c r="AL68" s="726">
        <v>60615</v>
      </c>
      <c r="AM68" s="725">
        <v>8</v>
      </c>
      <c r="AN68" s="727">
        <v>0.46100000000000002</v>
      </c>
      <c r="AO68" s="725">
        <v>12</v>
      </c>
      <c r="AP68" s="727">
        <v>6.7000000000000004E-2</v>
      </c>
      <c r="AQ68" s="725">
        <v>14</v>
      </c>
      <c r="AR68" s="728">
        <v>0.78400000000000003</v>
      </c>
      <c r="AS68" s="729">
        <v>9</v>
      </c>
      <c r="AT68" s="728">
        <v>1.7000000000000001E-2</v>
      </c>
      <c r="AU68" s="730">
        <v>9</v>
      </c>
      <c r="AV68" s="734">
        <v>3.7999999999999999E-2</v>
      </c>
      <c r="AW68" s="730">
        <v>10</v>
      </c>
      <c r="AX68" s="728">
        <v>0.13600000000000001</v>
      </c>
      <c r="AY68" s="730">
        <v>8</v>
      </c>
      <c r="AZ68" s="728">
        <v>0.05</v>
      </c>
      <c r="BA68" s="730">
        <v>9</v>
      </c>
      <c r="BB68" s="733">
        <v>0.14400000000000002</v>
      </c>
      <c r="BC68" s="730">
        <v>4</v>
      </c>
      <c r="BD68" s="6"/>
    </row>
    <row r="69" spans="7:56" s="704" customFormat="1">
      <c r="G69" s="1546"/>
      <c r="W69" s="6"/>
      <c r="X69" s="829" t="s">
        <v>1690</v>
      </c>
      <c r="Y69" s="829"/>
      <c r="Z69" s="741">
        <v>28</v>
      </c>
      <c r="AA69" s="742">
        <v>6</v>
      </c>
      <c r="AB69" s="740" t="s">
        <v>1690</v>
      </c>
      <c r="AC69" s="742">
        <v>23</v>
      </c>
      <c r="AD69" s="742">
        <v>7</v>
      </c>
      <c r="AE69" s="770" t="s">
        <v>1035</v>
      </c>
      <c r="AF69" s="771" t="s">
        <v>653</v>
      </c>
      <c r="AG69" s="742"/>
      <c r="AH69" s="454" t="s">
        <v>422</v>
      </c>
      <c r="AI69" s="455">
        <v>9713</v>
      </c>
      <c r="AJ69" s="724">
        <v>0.11532286835533358</v>
      </c>
      <c r="AK69" s="725">
        <v>9</v>
      </c>
      <c r="AL69" s="726">
        <v>60615</v>
      </c>
      <c r="AM69" s="725">
        <v>8</v>
      </c>
      <c r="AN69" s="727">
        <v>0.46100000000000002</v>
      </c>
      <c r="AO69" s="725">
        <v>12</v>
      </c>
      <c r="AP69" s="727">
        <v>6.7000000000000004E-2</v>
      </c>
      <c r="AQ69" s="725">
        <v>14</v>
      </c>
      <c r="AR69" s="728">
        <v>0.58499999999999996</v>
      </c>
      <c r="AS69" s="729">
        <v>7</v>
      </c>
      <c r="AT69" s="728">
        <v>0.03</v>
      </c>
      <c r="AU69" s="730">
        <v>8</v>
      </c>
      <c r="AV69" s="734">
        <v>0.16899999999999998</v>
      </c>
      <c r="AW69" s="730">
        <v>8</v>
      </c>
      <c r="AX69" s="728">
        <v>0.182</v>
      </c>
      <c r="AY69" s="730">
        <v>7</v>
      </c>
      <c r="AZ69" s="728">
        <v>6.4000000000000001E-2</v>
      </c>
      <c r="BA69" s="730">
        <v>8</v>
      </c>
      <c r="BB69" s="733">
        <v>0.113</v>
      </c>
      <c r="BC69" s="730">
        <v>3</v>
      </c>
      <c r="BD69" s="6"/>
    </row>
    <row r="70" spans="7:56" s="704" customFormat="1">
      <c r="G70" s="1546"/>
      <c r="W70" s="6"/>
      <c r="X70" s="829" t="s">
        <v>1691</v>
      </c>
      <c r="Y70" s="829"/>
      <c r="Z70" s="741">
        <v>12</v>
      </c>
      <c r="AA70" s="742">
        <v>10</v>
      </c>
      <c r="AB70" s="740" t="s">
        <v>1691</v>
      </c>
      <c r="AC70" s="742">
        <v>12</v>
      </c>
      <c r="AD70" s="742">
        <v>10</v>
      </c>
      <c r="AE70" s="770" t="s">
        <v>1036</v>
      </c>
      <c r="AF70" s="771" t="s">
        <v>653</v>
      </c>
      <c r="AG70" s="742"/>
      <c r="AH70" s="454" t="s">
        <v>422</v>
      </c>
      <c r="AI70" s="455">
        <v>9714</v>
      </c>
      <c r="AJ70" s="724">
        <v>0.11532286835533358</v>
      </c>
      <c r="AK70" s="725">
        <v>9</v>
      </c>
      <c r="AL70" s="726">
        <v>60615</v>
      </c>
      <c r="AM70" s="725">
        <v>8</v>
      </c>
      <c r="AN70" s="727">
        <v>0.46100000000000002</v>
      </c>
      <c r="AO70" s="725">
        <v>12</v>
      </c>
      <c r="AP70" s="727">
        <v>6.7000000000000004E-2</v>
      </c>
      <c r="AQ70" s="725">
        <v>14</v>
      </c>
      <c r="AR70" s="728">
        <v>0.73499999999999999</v>
      </c>
      <c r="AS70" s="729">
        <v>8</v>
      </c>
      <c r="AT70" s="728">
        <v>1.1000000000000001E-2</v>
      </c>
      <c r="AU70" s="730">
        <v>9</v>
      </c>
      <c r="AV70" s="734">
        <v>0.111</v>
      </c>
      <c r="AW70" s="730">
        <v>9</v>
      </c>
      <c r="AX70" s="728">
        <v>0.13500000000000001</v>
      </c>
      <c r="AY70" s="730">
        <v>8</v>
      </c>
      <c r="AZ70" s="728">
        <v>3.6000000000000004E-2</v>
      </c>
      <c r="BA70" s="730">
        <v>9</v>
      </c>
      <c r="BB70" s="733">
        <v>0.192</v>
      </c>
      <c r="BC70" s="730">
        <v>5</v>
      </c>
      <c r="BD70" s="6"/>
    </row>
    <row r="71" spans="7:56" s="704" customFormat="1">
      <c r="G71" s="1546"/>
      <c r="W71" s="6"/>
      <c r="X71" s="829" t="s">
        <v>1692</v>
      </c>
      <c r="Y71" s="829"/>
      <c r="Z71" s="741">
        <v>27</v>
      </c>
      <c r="AA71" s="742">
        <v>6</v>
      </c>
      <c r="AB71" s="740" t="s">
        <v>1692</v>
      </c>
      <c r="AC71" s="742">
        <v>33</v>
      </c>
      <c r="AD71" s="742">
        <v>5</v>
      </c>
      <c r="AE71" s="770" t="s">
        <v>1037</v>
      </c>
      <c r="AF71" s="771" t="s">
        <v>1450</v>
      </c>
      <c r="AG71" s="742"/>
      <c r="AH71" s="454" t="s">
        <v>422</v>
      </c>
      <c r="AI71" s="455">
        <v>9715</v>
      </c>
      <c r="AJ71" s="724">
        <v>0.11532286835533358</v>
      </c>
      <c r="AK71" s="725">
        <v>9</v>
      </c>
      <c r="AL71" s="726">
        <v>60615</v>
      </c>
      <c r="AM71" s="725">
        <v>8</v>
      </c>
      <c r="AN71" s="727">
        <v>0.46100000000000002</v>
      </c>
      <c r="AO71" s="725">
        <v>12</v>
      </c>
      <c r="AP71" s="727">
        <v>6.7000000000000004E-2</v>
      </c>
      <c r="AQ71" s="725">
        <v>14</v>
      </c>
      <c r="AR71" s="728">
        <v>0.49200000000000005</v>
      </c>
      <c r="AS71" s="729">
        <v>6</v>
      </c>
      <c r="AT71" s="728">
        <v>0.05</v>
      </c>
      <c r="AU71" s="730">
        <v>6</v>
      </c>
      <c r="AV71" s="734">
        <v>0.26800000000000002</v>
      </c>
      <c r="AW71" s="730">
        <v>7</v>
      </c>
      <c r="AX71" s="728">
        <v>0.27800000000000002</v>
      </c>
      <c r="AY71" s="730">
        <v>6</v>
      </c>
      <c r="AZ71" s="728">
        <v>0.10400000000000001</v>
      </c>
      <c r="BA71" s="730">
        <v>7</v>
      </c>
      <c r="BB71" s="733">
        <v>5.2000000000000005E-2</v>
      </c>
      <c r="BC71" s="730">
        <v>2</v>
      </c>
      <c r="BD71" s="6"/>
    </row>
    <row r="72" spans="7:56" s="704" customFormat="1">
      <c r="G72" s="1546"/>
      <c r="W72" s="6"/>
      <c r="X72" s="829" t="s">
        <v>1693</v>
      </c>
      <c r="Y72" s="829"/>
      <c r="Z72" s="741">
        <v>44</v>
      </c>
      <c r="AA72" s="742">
        <v>3</v>
      </c>
      <c r="AB72" s="740" t="s">
        <v>1693</v>
      </c>
      <c r="AC72" s="742">
        <v>39</v>
      </c>
      <c r="AD72" s="742">
        <v>4</v>
      </c>
      <c r="AE72" s="770" t="s">
        <v>2505</v>
      </c>
      <c r="AF72" s="771" t="s">
        <v>653</v>
      </c>
      <c r="AG72" s="742"/>
      <c r="AH72" s="454" t="s">
        <v>422</v>
      </c>
      <c r="AI72" s="455">
        <v>9716</v>
      </c>
      <c r="AJ72" s="724">
        <v>0.11532286835533358</v>
      </c>
      <c r="AK72" s="725">
        <v>9</v>
      </c>
      <c r="AL72" s="726">
        <v>60615</v>
      </c>
      <c r="AM72" s="725">
        <v>8</v>
      </c>
      <c r="AN72" s="727">
        <v>0.46100000000000002</v>
      </c>
      <c r="AO72" s="725">
        <v>12</v>
      </c>
      <c r="AP72" s="727">
        <v>6.7000000000000004E-2</v>
      </c>
      <c r="AQ72" s="725">
        <v>14</v>
      </c>
      <c r="AR72" s="728">
        <v>0.48700000000000004</v>
      </c>
      <c r="AS72" s="729">
        <v>6</v>
      </c>
      <c r="AT72" s="728">
        <v>4.4000000000000004E-2</v>
      </c>
      <c r="AU72" s="730">
        <v>6</v>
      </c>
      <c r="AV72" s="734">
        <v>0.33200000000000002</v>
      </c>
      <c r="AW72" s="730">
        <v>6</v>
      </c>
      <c r="AX72" s="728">
        <v>0.29399999999999998</v>
      </c>
      <c r="AY72" s="730">
        <v>6</v>
      </c>
      <c r="AZ72" s="728">
        <v>0.106</v>
      </c>
      <c r="BA72" s="730">
        <v>7</v>
      </c>
      <c r="BB72" s="733">
        <v>0.14499999999999999</v>
      </c>
      <c r="BC72" s="730">
        <v>4</v>
      </c>
      <c r="BD72" s="6"/>
    </row>
    <row r="73" spans="7:56" s="704" customFormat="1">
      <c r="G73" s="1546"/>
      <c r="W73" s="6"/>
      <c r="X73" s="829" t="s">
        <v>1694</v>
      </c>
      <c r="Y73" s="829"/>
      <c r="Z73" s="741">
        <v>22</v>
      </c>
      <c r="AA73" s="742">
        <v>7</v>
      </c>
      <c r="AB73" s="740" t="s">
        <v>1694</v>
      </c>
      <c r="AC73" s="742">
        <v>27</v>
      </c>
      <c r="AD73" s="742">
        <v>6</v>
      </c>
      <c r="AE73" s="770" t="s">
        <v>1038</v>
      </c>
      <c r="AF73" s="771" t="s">
        <v>653</v>
      </c>
      <c r="AG73" s="742"/>
      <c r="AH73" s="454" t="s">
        <v>422</v>
      </c>
      <c r="AI73" s="455">
        <v>9717</v>
      </c>
      <c r="AJ73" s="724">
        <v>0.11532286835533358</v>
      </c>
      <c r="AK73" s="725">
        <v>9</v>
      </c>
      <c r="AL73" s="726">
        <v>60615</v>
      </c>
      <c r="AM73" s="725">
        <v>8</v>
      </c>
      <c r="AN73" s="727">
        <v>0.46100000000000002</v>
      </c>
      <c r="AO73" s="725">
        <v>12</v>
      </c>
      <c r="AP73" s="727">
        <v>6.7000000000000004E-2</v>
      </c>
      <c r="AQ73" s="725">
        <v>14</v>
      </c>
      <c r="AR73" s="728">
        <v>0.46700000000000003</v>
      </c>
      <c r="AS73" s="729">
        <v>5</v>
      </c>
      <c r="AT73" s="728">
        <v>9.0000000000000011E-3</v>
      </c>
      <c r="AU73" s="730">
        <v>10</v>
      </c>
      <c r="AV73" s="734">
        <v>0.27200000000000002</v>
      </c>
      <c r="AW73" s="730">
        <v>7</v>
      </c>
      <c r="AX73" s="728">
        <v>0.21600000000000003</v>
      </c>
      <c r="AY73" s="730">
        <v>7</v>
      </c>
      <c r="AZ73" s="728">
        <v>0.126</v>
      </c>
      <c r="BA73" s="730">
        <v>6</v>
      </c>
      <c r="BB73" s="733">
        <v>0.109</v>
      </c>
      <c r="BC73" s="730">
        <v>3</v>
      </c>
      <c r="BD73" s="6"/>
    </row>
    <row r="74" spans="7:56" s="704" customFormat="1">
      <c r="G74" s="1546"/>
      <c r="W74" s="6"/>
      <c r="X74" s="829" t="s">
        <v>1695</v>
      </c>
      <c r="Y74" s="829"/>
      <c r="Z74" s="741">
        <v>23</v>
      </c>
      <c r="AA74" s="742">
        <v>7</v>
      </c>
      <c r="AB74" s="740" t="s">
        <v>1695</v>
      </c>
      <c r="AC74" s="742">
        <v>28</v>
      </c>
      <c r="AD74" s="742">
        <v>6</v>
      </c>
      <c r="AE74" s="770" t="s">
        <v>2506</v>
      </c>
      <c r="AF74" s="771" t="s">
        <v>653</v>
      </c>
      <c r="AG74" s="742"/>
      <c r="AH74" s="454" t="s">
        <v>422</v>
      </c>
      <c r="AI74" s="455">
        <v>9718</v>
      </c>
      <c r="AJ74" s="724">
        <v>0.11532286835533358</v>
      </c>
      <c r="AK74" s="725">
        <v>9</v>
      </c>
      <c r="AL74" s="726">
        <v>60615</v>
      </c>
      <c r="AM74" s="725">
        <v>8</v>
      </c>
      <c r="AN74" s="727">
        <v>0.46100000000000002</v>
      </c>
      <c r="AO74" s="725">
        <v>12</v>
      </c>
      <c r="AP74" s="727">
        <v>6.7000000000000004E-2</v>
      </c>
      <c r="AQ74" s="725">
        <v>14</v>
      </c>
      <c r="AR74" s="728">
        <v>0.89599999999999991</v>
      </c>
      <c r="AS74" s="729">
        <v>10</v>
      </c>
      <c r="AT74" s="728">
        <v>1.1000000000000001E-2</v>
      </c>
      <c r="AU74" s="730">
        <v>9</v>
      </c>
      <c r="AV74" s="734">
        <v>4.2000000000000003E-2</v>
      </c>
      <c r="AW74" s="730">
        <v>10</v>
      </c>
      <c r="AX74" s="728">
        <v>3.9E-2</v>
      </c>
      <c r="AY74" s="730">
        <v>10</v>
      </c>
      <c r="AZ74" s="728">
        <v>4.4000000000000004E-2</v>
      </c>
      <c r="BA74" s="730">
        <v>9</v>
      </c>
      <c r="BB74" s="733">
        <v>0.16200000000000001</v>
      </c>
      <c r="BC74" s="730">
        <v>5</v>
      </c>
      <c r="BD74" s="6"/>
    </row>
    <row r="75" spans="7:56" s="704" customFormat="1">
      <c r="G75" s="1546"/>
      <c r="W75" s="6"/>
      <c r="X75" s="829" t="s">
        <v>1696</v>
      </c>
      <c r="Y75" s="829"/>
      <c r="Z75" s="741">
        <v>23</v>
      </c>
      <c r="AA75" s="742">
        <v>7</v>
      </c>
      <c r="AB75" s="740" t="s">
        <v>1696</v>
      </c>
      <c r="AC75" s="742">
        <v>23</v>
      </c>
      <c r="AD75" s="742">
        <v>7</v>
      </c>
      <c r="AE75" s="770" t="s">
        <v>2507</v>
      </c>
      <c r="AF75" s="771" t="s">
        <v>1450</v>
      </c>
      <c r="AG75" s="742"/>
      <c r="AH75" s="454" t="s">
        <v>422</v>
      </c>
      <c r="AI75" s="455">
        <v>9719</v>
      </c>
      <c r="AJ75" s="724">
        <v>0.11532286835533358</v>
      </c>
      <c r="AK75" s="725">
        <v>9</v>
      </c>
      <c r="AL75" s="726">
        <v>60615</v>
      </c>
      <c r="AM75" s="725">
        <v>8</v>
      </c>
      <c r="AN75" s="727">
        <v>0.46100000000000002</v>
      </c>
      <c r="AO75" s="725">
        <v>12</v>
      </c>
      <c r="AP75" s="727">
        <v>6.7000000000000004E-2</v>
      </c>
      <c r="AQ75" s="725">
        <v>14</v>
      </c>
      <c r="AR75" s="728">
        <v>0.76400000000000001</v>
      </c>
      <c r="AS75" s="729">
        <v>9</v>
      </c>
      <c r="AT75" s="728">
        <v>2.6000000000000002E-2</v>
      </c>
      <c r="AU75" s="730">
        <v>8</v>
      </c>
      <c r="AV75" s="734">
        <v>0.10199999999999999</v>
      </c>
      <c r="AW75" s="730">
        <v>9</v>
      </c>
      <c r="AX75" s="728">
        <v>0.10199999999999999</v>
      </c>
      <c r="AY75" s="730">
        <v>9</v>
      </c>
      <c r="AZ75" s="728">
        <v>7.2000000000000008E-2</v>
      </c>
      <c r="BA75" s="730">
        <v>8</v>
      </c>
      <c r="BB75" s="733">
        <v>0.14699999999999999</v>
      </c>
      <c r="BC75" s="730">
        <v>4</v>
      </c>
      <c r="BD75" s="6"/>
    </row>
    <row r="76" spans="7:56" s="704" customFormat="1">
      <c r="G76" s="1546"/>
      <c r="W76" s="6"/>
      <c r="X76" s="829" t="s">
        <v>1697</v>
      </c>
      <c r="Y76" s="829"/>
      <c r="Z76" s="741">
        <v>39</v>
      </c>
      <c r="AA76" s="742">
        <v>4</v>
      </c>
      <c r="AB76" s="740" t="s">
        <v>1697</v>
      </c>
      <c r="AC76" s="742">
        <v>36</v>
      </c>
      <c r="AD76" s="742">
        <v>4</v>
      </c>
      <c r="AE76" s="770" t="s">
        <v>1039</v>
      </c>
      <c r="AF76" s="771" t="s">
        <v>1450</v>
      </c>
      <c r="AG76" s="742"/>
      <c r="AH76" s="454" t="s">
        <v>422</v>
      </c>
      <c r="AI76" s="455">
        <v>9720</v>
      </c>
      <c r="AJ76" s="724">
        <v>0.11532286835533358</v>
      </c>
      <c r="AK76" s="725">
        <v>9</v>
      </c>
      <c r="AL76" s="726">
        <v>60615</v>
      </c>
      <c r="AM76" s="725">
        <v>8</v>
      </c>
      <c r="AN76" s="727">
        <v>0.46100000000000002</v>
      </c>
      <c r="AO76" s="725">
        <v>12</v>
      </c>
      <c r="AP76" s="727">
        <v>6.7000000000000004E-2</v>
      </c>
      <c r="AQ76" s="725">
        <v>14</v>
      </c>
      <c r="AR76" s="728">
        <v>0.73799999999999999</v>
      </c>
      <c r="AS76" s="729">
        <v>8</v>
      </c>
      <c r="AT76" s="728">
        <v>4.2999999999999997E-2</v>
      </c>
      <c r="AU76" s="730">
        <v>7</v>
      </c>
      <c r="AV76" s="734">
        <v>0.17</v>
      </c>
      <c r="AW76" s="730">
        <v>8</v>
      </c>
      <c r="AX76" s="728">
        <v>0.14599999999999999</v>
      </c>
      <c r="AY76" s="730">
        <v>8</v>
      </c>
      <c r="AZ76" s="728">
        <v>5.5999999999999994E-2</v>
      </c>
      <c r="BA76" s="730">
        <v>9</v>
      </c>
      <c r="BB76" s="733">
        <v>0.14199999999999999</v>
      </c>
      <c r="BC76" s="730">
        <v>4</v>
      </c>
      <c r="BD76" s="6"/>
    </row>
    <row r="77" spans="7:56" s="704" customFormat="1">
      <c r="G77" s="1546"/>
      <c r="W77" s="6"/>
      <c r="X77" s="829" t="s">
        <v>1698</v>
      </c>
      <c r="Y77" s="829"/>
      <c r="Z77" s="741">
        <v>5</v>
      </c>
      <c r="AA77" s="742">
        <v>20</v>
      </c>
      <c r="AB77" s="740" t="s">
        <v>1698</v>
      </c>
      <c r="AC77" s="742">
        <v>5</v>
      </c>
      <c r="AD77" s="742">
        <v>20</v>
      </c>
      <c r="AE77" s="770" t="s">
        <v>1040</v>
      </c>
      <c r="AF77" s="771" t="s">
        <v>652</v>
      </c>
      <c r="AG77" s="742"/>
      <c r="AH77" s="454" t="s">
        <v>422</v>
      </c>
      <c r="AI77" s="455">
        <v>9721.01</v>
      </c>
      <c r="AJ77" s="724">
        <v>0.11532286835533358</v>
      </c>
      <c r="AK77" s="725">
        <v>9</v>
      </c>
      <c r="AL77" s="726">
        <v>60615</v>
      </c>
      <c r="AM77" s="725">
        <v>8</v>
      </c>
      <c r="AN77" s="727">
        <v>0.46100000000000002</v>
      </c>
      <c r="AO77" s="725">
        <v>12</v>
      </c>
      <c r="AP77" s="727">
        <v>6.7000000000000004E-2</v>
      </c>
      <c r="AQ77" s="725">
        <v>14</v>
      </c>
      <c r="AR77" s="728">
        <v>0.83499999999999996</v>
      </c>
      <c r="AS77" s="729">
        <v>9</v>
      </c>
      <c r="AT77" s="728">
        <v>4.0000000000000001E-3</v>
      </c>
      <c r="AU77" s="730">
        <v>10</v>
      </c>
      <c r="AV77" s="734">
        <v>0.08</v>
      </c>
      <c r="AW77" s="730">
        <v>9</v>
      </c>
      <c r="AX77" s="728">
        <v>7.400000000000001E-2</v>
      </c>
      <c r="AY77" s="730">
        <v>9</v>
      </c>
      <c r="AZ77" s="728">
        <v>4.8000000000000001E-2</v>
      </c>
      <c r="BA77" s="730">
        <v>9</v>
      </c>
      <c r="BB77" s="733">
        <v>0.105</v>
      </c>
      <c r="BC77" s="730">
        <v>3</v>
      </c>
      <c r="BD77" s="6"/>
    </row>
    <row r="78" spans="7:56" s="704" customFormat="1">
      <c r="G78" s="1546"/>
      <c r="W78" s="6"/>
      <c r="X78" s="829" t="s">
        <v>1699</v>
      </c>
      <c r="Y78" s="829"/>
      <c r="Z78" s="741">
        <v>14</v>
      </c>
      <c r="AA78" s="742">
        <v>10</v>
      </c>
      <c r="AB78" s="740" t="s">
        <v>1699</v>
      </c>
      <c r="AC78" s="742">
        <v>14</v>
      </c>
      <c r="AD78" s="742">
        <v>10</v>
      </c>
      <c r="AE78" s="770" t="s">
        <v>1041</v>
      </c>
      <c r="AF78" s="771" t="s">
        <v>653</v>
      </c>
      <c r="AG78" s="742"/>
      <c r="AH78" s="454" t="s">
        <v>422</v>
      </c>
      <c r="AI78" s="455">
        <v>9721.02</v>
      </c>
      <c r="AJ78" s="724">
        <v>0.11532286835533358</v>
      </c>
      <c r="AK78" s="725">
        <v>9</v>
      </c>
      <c r="AL78" s="726">
        <v>60615</v>
      </c>
      <c r="AM78" s="725">
        <v>8</v>
      </c>
      <c r="AN78" s="727">
        <v>0.46100000000000002</v>
      </c>
      <c r="AO78" s="725">
        <v>12</v>
      </c>
      <c r="AP78" s="727">
        <v>6.7000000000000004E-2</v>
      </c>
      <c r="AQ78" s="725">
        <v>14</v>
      </c>
      <c r="AR78" s="728">
        <v>0.84299999999999997</v>
      </c>
      <c r="AS78" s="729">
        <v>9</v>
      </c>
      <c r="AT78" s="728">
        <v>3.4000000000000002E-2</v>
      </c>
      <c r="AU78" s="730">
        <v>7</v>
      </c>
      <c r="AV78" s="734">
        <v>0.125</v>
      </c>
      <c r="AW78" s="730">
        <v>9</v>
      </c>
      <c r="AX78" s="728">
        <v>0.09</v>
      </c>
      <c r="AY78" s="730">
        <v>9</v>
      </c>
      <c r="AZ78" s="728">
        <v>6.2E-2</v>
      </c>
      <c r="BA78" s="730">
        <v>8</v>
      </c>
      <c r="BB78" s="733">
        <v>0.13300000000000001</v>
      </c>
      <c r="BC78" s="730">
        <v>4</v>
      </c>
      <c r="BD78" s="6"/>
    </row>
    <row r="79" spans="7:56" s="704" customFormat="1">
      <c r="G79" s="1546"/>
      <c r="W79" s="6"/>
      <c r="X79" s="829" t="s">
        <v>1700</v>
      </c>
      <c r="Y79" s="829"/>
      <c r="Z79" s="741">
        <v>16</v>
      </c>
      <c r="AA79" s="742">
        <v>8</v>
      </c>
      <c r="AB79" s="740" t="s">
        <v>1700</v>
      </c>
      <c r="AC79" s="742">
        <v>19</v>
      </c>
      <c r="AD79" s="742">
        <v>8</v>
      </c>
      <c r="AE79" s="770" t="s">
        <v>2508</v>
      </c>
      <c r="AF79" s="771" t="s">
        <v>652</v>
      </c>
      <c r="AG79" s="742"/>
      <c r="AH79" s="454" t="s">
        <v>423</v>
      </c>
      <c r="AI79" s="455">
        <v>9582</v>
      </c>
      <c r="AJ79" s="724">
        <v>2.5134649910233394E-2</v>
      </c>
      <c r="AK79" s="725">
        <v>27</v>
      </c>
      <c r="AL79" s="726">
        <v>38642</v>
      </c>
      <c r="AM79" s="725">
        <v>16</v>
      </c>
      <c r="AN79" s="727">
        <v>0.57999999999999996</v>
      </c>
      <c r="AO79" s="725">
        <v>16</v>
      </c>
      <c r="AP79" s="727">
        <v>0.14699999999999999</v>
      </c>
      <c r="AQ79" s="725">
        <v>6</v>
      </c>
      <c r="AR79" s="728">
        <v>0.84099999999999997</v>
      </c>
      <c r="AS79" s="729">
        <v>9</v>
      </c>
      <c r="AT79" s="728">
        <v>6.0000000000000001E-3</v>
      </c>
      <c r="AU79" s="730">
        <v>10</v>
      </c>
      <c r="AV79" s="731">
        <v>0.312</v>
      </c>
      <c r="AW79" s="730">
        <v>6</v>
      </c>
      <c r="AX79" s="728">
        <v>0.27200000000000002</v>
      </c>
      <c r="AY79" s="730">
        <v>6</v>
      </c>
      <c r="AZ79" s="728">
        <v>7.9000000000000001E-2</v>
      </c>
      <c r="BA79" s="730">
        <v>8</v>
      </c>
      <c r="BB79" s="733">
        <v>4.2999999999999997E-2</v>
      </c>
      <c r="BC79" s="730">
        <v>2</v>
      </c>
      <c r="BD79" s="6"/>
    </row>
    <row r="80" spans="7:56" s="704" customFormat="1">
      <c r="G80" s="1546"/>
      <c r="W80" s="6"/>
      <c r="X80" s="829" t="s">
        <v>1701</v>
      </c>
      <c r="Y80" s="829"/>
      <c r="Z80" s="741">
        <v>3</v>
      </c>
      <c r="AA80" s="742">
        <v>20</v>
      </c>
      <c r="AB80" s="740" t="s">
        <v>1701</v>
      </c>
      <c r="AC80" s="742">
        <v>2</v>
      </c>
      <c r="AD80" s="742">
        <v>20</v>
      </c>
      <c r="AE80" s="770" t="s">
        <v>1042</v>
      </c>
      <c r="AF80" s="771" t="s">
        <v>1450</v>
      </c>
      <c r="AG80" s="742"/>
      <c r="AH80" s="454" t="s">
        <v>423</v>
      </c>
      <c r="AI80" s="455">
        <v>9583</v>
      </c>
      <c r="AJ80" s="724">
        <v>2.5134649910233394E-2</v>
      </c>
      <c r="AK80" s="725">
        <v>27</v>
      </c>
      <c r="AL80" s="726">
        <v>38642</v>
      </c>
      <c r="AM80" s="725">
        <v>16</v>
      </c>
      <c r="AN80" s="727">
        <v>0.57999999999999996</v>
      </c>
      <c r="AO80" s="725">
        <v>16</v>
      </c>
      <c r="AP80" s="727">
        <v>0.14699999999999999</v>
      </c>
      <c r="AQ80" s="725">
        <v>6</v>
      </c>
      <c r="AR80" s="728">
        <v>0.76</v>
      </c>
      <c r="AS80" s="729">
        <v>9</v>
      </c>
      <c r="AT80" s="728">
        <v>3.0000000000000005E-3</v>
      </c>
      <c r="AU80" s="730">
        <v>10</v>
      </c>
      <c r="AV80" s="731">
        <v>0.23</v>
      </c>
      <c r="AW80" s="730">
        <v>7</v>
      </c>
      <c r="AX80" s="728">
        <v>0.26200000000000001</v>
      </c>
      <c r="AY80" s="730">
        <v>6</v>
      </c>
      <c r="AZ80" s="728">
        <v>0.05</v>
      </c>
      <c r="BA80" s="730">
        <v>9</v>
      </c>
      <c r="BB80" s="733">
        <v>4.9000000000000002E-2</v>
      </c>
      <c r="BC80" s="730">
        <v>2</v>
      </c>
      <c r="BD80" s="6"/>
    </row>
    <row r="81" spans="7:56" s="704" customFormat="1">
      <c r="G81" s="1546"/>
      <c r="W81" s="6"/>
      <c r="X81" s="829" t="s">
        <v>1702</v>
      </c>
      <c r="Y81" s="829"/>
      <c r="Z81" s="741">
        <v>30</v>
      </c>
      <c r="AA81" s="742">
        <v>6</v>
      </c>
      <c r="AB81" s="740" t="s">
        <v>1702</v>
      </c>
      <c r="AC81" s="742">
        <v>36</v>
      </c>
      <c r="AD81" s="742">
        <v>4</v>
      </c>
      <c r="AE81" s="770" t="s">
        <v>1043</v>
      </c>
      <c r="AF81" s="771" t="s">
        <v>653</v>
      </c>
      <c r="AG81" s="742"/>
      <c r="AH81" s="454" t="s">
        <v>423</v>
      </c>
      <c r="AI81" s="455">
        <v>9584</v>
      </c>
      <c r="AJ81" s="724">
        <v>2.5134649910233394E-2</v>
      </c>
      <c r="AK81" s="725">
        <v>27</v>
      </c>
      <c r="AL81" s="726">
        <v>38642</v>
      </c>
      <c r="AM81" s="725">
        <v>16</v>
      </c>
      <c r="AN81" s="727">
        <v>0.57999999999999996</v>
      </c>
      <c r="AO81" s="725">
        <v>16</v>
      </c>
      <c r="AP81" s="727">
        <v>0.14699999999999999</v>
      </c>
      <c r="AQ81" s="725">
        <v>6</v>
      </c>
      <c r="AR81" s="728">
        <v>0.72400000000000009</v>
      </c>
      <c r="AS81" s="729">
        <v>8</v>
      </c>
      <c r="AT81" s="728">
        <v>2.2000000000000002E-2</v>
      </c>
      <c r="AU81" s="730">
        <v>8</v>
      </c>
      <c r="AV81" s="731">
        <v>0.30399999999999999</v>
      </c>
      <c r="AW81" s="730">
        <v>6</v>
      </c>
      <c r="AX81" s="728">
        <v>0.187</v>
      </c>
      <c r="AY81" s="730">
        <v>7</v>
      </c>
      <c r="AZ81" s="728">
        <v>7.4999999999999997E-2</v>
      </c>
      <c r="BA81" s="730">
        <v>8</v>
      </c>
      <c r="BB81" s="733">
        <v>6.6000000000000003E-2</v>
      </c>
      <c r="BC81" s="730">
        <v>2</v>
      </c>
      <c r="BD81" s="6"/>
    </row>
    <row r="82" spans="7:56" s="704" customFormat="1">
      <c r="G82" s="1546"/>
      <c r="W82" s="6"/>
      <c r="X82" s="829" t="s">
        <v>1703</v>
      </c>
      <c r="Y82" s="829"/>
      <c r="Z82" s="741">
        <v>53</v>
      </c>
      <c r="AA82" s="742">
        <v>1</v>
      </c>
      <c r="AB82" s="740" t="s">
        <v>1703</v>
      </c>
      <c r="AC82" s="742">
        <v>53</v>
      </c>
      <c r="AD82" s="742">
        <v>1</v>
      </c>
      <c r="AE82" s="770" t="s">
        <v>1044</v>
      </c>
      <c r="AF82" s="771" t="s">
        <v>1450</v>
      </c>
      <c r="AG82" s="742"/>
      <c r="AH82" s="454" t="s">
        <v>423</v>
      </c>
      <c r="AI82" s="455">
        <v>9585.01</v>
      </c>
      <c r="AJ82" s="724">
        <v>2.5134649910233394E-2</v>
      </c>
      <c r="AK82" s="725">
        <v>27</v>
      </c>
      <c r="AL82" s="726">
        <v>38642</v>
      </c>
      <c r="AM82" s="725">
        <v>16</v>
      </c>
      <c r="AN82" s="727">
        <v>0.57999999999999996</v>
      </c>
      <c r="AO82" s="725">
        <v>16</v>
      </c>
      <c r="AP82" s="727">
        <v>0.14699999999999999</v>
      </c>
      <c r="AQ82" s="725">
        <v>6</v>
      </c>
      <c r="AR82" s="728">
        <v>0.80700000000000005</v>
      </c>
      <c r="AS82" s="729">
        <v>9</v>
      </c>
      <c r="AT82" s="728">
        <v>8.0000000000000002E-3</v>
      </c>
      <c r="AU82" s="730">
        <v>10</v>
      </c>
      <c r="AV82" s="731">
        <v>0.26500000000000001</v>
      </c>
      <c r="AW82" s="730">
        <v>7</v>
      </c>
      <c r="AX82" s="728">
        <v>0.33100000000000002</v>
      </c>
      <c r="AY82" s="730">
        <v>5</v>
      </c>
      <c r="AZ82" s="728">
        <v>7.4999999999999997E-2</v>
      </c>
      <c r="BA82" s="730">
        <v>8</v>
      </c>
      <c r="BB82" s="733">
        <v>3.7999999999999999E-2</v>
      </c>
      <c r="BC82" s="730">
        <v>2</v>
      </c>
      <c r="BD82" s="6"/>
    </row>
    <row r="83" spans="7:56" s="704" customFormat="1">
      <c r="G83" s="1546"/>
      <c r="W83" s="6"/>
      <c r="X83" s="829" t="s">
        <v>1704</v>
      </c>
      <c r="Y83" s="829"/>
      <c r="Z83" s="741">
        <v>40</v>
      </c>
      <c r="AA83" s="742">
        <v>4</v>
      </c>
      <c r="AB83" s="740" t="s">
        <v>1704</v>
      </c>
      <c r="AC83" s="742">
        <v>43</v>
      </c>
      <c r="AD83" s="742">
        <v>3</v>
      </c>
      <c r="AE83" s="770" t="s">
        <v>1045</v>
      </c>
      <c r="AF83" s="771" t="s">
        <v>653</v>
      </c>
      <c r="AG83" s="742"/>
      <c r="AH83" s="454" t="s">
        <v>423</v>
      </c>
      <c r="AI83" s="455">
        <v>9585.02</v>
      </c>
      <c r="AJ83" s="724">
        <v>2.5134649910233394E-2</v>
      </c>
      <c r="AK83" s="725">
        <v>27</v>
      </c>
      <c r="AL83" s="726">
        <v>38642</v>
      </c>
      <c r="AM83" s="725">
        <v>16</v>
      </c>
      <c r="AN83" s="727">
        <v>0.57999999999999996</v>
      </c>
      <c r="AO83" s="725">
        <v>16</v>
      </c>
      <c r="AP83" s="727">
        <v>0.14699999999999999</v>
      </c>
      <c r="AQ83" s="725">
        <v>6</v>
      </c>
      <c r="AR83" s="728">
        <v>0.69400000000000006</v>
      </c>
      <c r="AS83" s="729">
        <v>8</v>
      </c>
      <c r="AT83" s="728">
        <v>0</v>
      </c>
      <c r="AU83" s="730">
        <v>10</v>
      </c>
      <c r="AV83" s="731">
        <v>0.17199999999999999</v>
      </c>
      <c r="AW83" s="730">
        <v>8</v>
      </c>
      <c r="AX83" s="728">
        <v>0.27200000000000002</v>
      </c>
      <c r="AY83" s="730">
        <v>6</v>
      </c>
      <c r="AZ83" s="728">
        <v>0.16699999999999998</v>
      </c>
      <c r="BA83" s="730">
        <v>5</v>
      </c>
      <c r="BB83" s="733">
        <v>4.9000000000000002E-2</v>
      </c>
      <c r="BC83" s="730">
        <v>2</v>
      </c>
      <c r="BD83" s="6"/>
    </row>
    <row r="84" spans="7:56" s="704" customFormat="1">
      <c r="G84" s="1546"/>
      <c r="W84" s="6"/>
      <c r="X84" s="829" t="s">
        <v>1705</v>
      </c>
      <c r="Y84" s="829"/>
      <c r="Z84" s="741">
        <v>9</v>
      </c>
      <c r="AA84" s="742">
        <v>15</v>
      </c>
      <c r="AB84" s="740" t="s">
        <v>1705</v>
      </c>
      <c r="AC84" s="742">
        <v>6</v>
      </c>
      <c r="AD84" s="742">
        <v>15</v>
      </c>
      <c r="AE84" s="770" t="s">
        <v>2509</v>
      </c>
      <c r="AF84" s="771" t="s">
        <v>1450</v>
      </c>
      <c r="AG84" s="742"/>
      <c r="AH84" s="454" t="s">
        <v>423</v>
      </c>
      <c r="AI84" s="455">
        <v>9586</v>
      </c>
      <c r="AJ84" s="724">
        <v>2.5134649910233394E-2</v>
      </c>
      <c r="AK84" s="725">
        <v>27</v>
      </c>
      <c r="AL84" s="726">
        <v>38642</v>
      </c>
      <c r="AM84" s="725">
        <v>16</v>
      </c>
      <c r="AN84" s="727">
        <v>0.57999999999999996</v>
      </c>
      <c r="AO84" s="725">
        <v>16</v>
      </c>
      <c r="AP84" s="727">
        <v>0.14699999999999999</v>
      </c>
      <c r="AQ84" s="725">
        <v>6</v>
      </c>
      <c r="AR84" s="728">
        <v>0.73</v>
      </c>
      <c r="AS84" s="729">
        <v>8</v>
      </c>
      <c r="AT84" s="728">
        <v>3.7000000000000005E-2</v>
      </c>
      <c r="AU84" s="730">
        <v>7</v>
      </c>
      <c r="AV84" s="731">
        <v>0.187</v>
      </c>
      <c r="AW84" s="730">
        <v>8</v>
      </c>
      <c r="AX84" s="728">
        <v>0.30299999999999999</v>
      </c>
      <c r="AY84" s="730">
        <v>6</v>
      </c>
      <c r="AZ84" s="728">
        <v>8.4000000000000005E-2</v>
      </c>
      <c r="BA84" s="730">
        <v>8</v>
      </c>
      <c r="BB84" s="733">
        <v>3.1E-2</v>
      </c>
      <c r="BC84" s="730">
        <v>1</v>
      </c>
      <c r="BD84" s="6"/>
    </row>
    <row r="85" spans="7:56" s="704" customFormat="1">
      <c r="G85" s="1546"/>
      <c r="W85" s="6"/>
      <c r="X85" s="829" t="s">
        <v>1706</v>
      </c>
      <c r="Y85" s="829"/>
      <c r="Z85" s="741">
        <v>28</v>
      </c>
      <c r="AA85" s="742">
        <v>6</v>
      </c>
      <c r="AB85" s="740" t="s">
        <v>1706</v>
      </c>
      <c r="AC85" s="742">
        <v>28</v>
      </c>
      <c r="AD85" s="742">
        <v>6</v>
      </c>
      <c r="AE85" s="770" t="s">
        <v>1046</v>
      </c>
      <c r="AF85" s="771" t="s">
        <v>1450</v>
      </c>
      <c r="AG85" s="742"/>
      <c r="AH85" s="454" t="s">
        <v>423</v>
      </c>
      <c r="AI85" s="455">
        <v>9587</v>
      </c>
      <c r="AJ85" s="724">
        <v>2.5134649910233394E-2</v>
      </c>
      <c r="AK85" s="725">
        <v>27</v>
      </c>
      <c r="AL85" s="726">
        <v>38642</v>
      </c>
      <c r="AM85" s="725">
        <v>16</v>
      </c>
      <c r="AN85" s="727">
        <v>0.57999999999999996</v>
      </c>
      <c r="AO85" s="725">
        <v>16</v>
      </c>
      <c r="AP85" s="727">
        <v>0.14699999999999999</v>
      </c>
      <c r="AQ85" s="725">
        <v>6</v>
      </c>
      <c r="AR85" s="728">
        <v>0.74299999999999999</v>
      </c>
      <c r="AS85" s="729">
        <v>8</v>
      </c>
      <c r="AT85" s="728">
        <v>4.7E-2</v>
      </c>
      <c r="AU85" s="730">
        <v>6</v>
      </c>
      <c r="AV85" s="731">
        <v>0.16500000000000001</v>
      </c>
      <c r="AW85" s="730">
        <v>8</v>
      </c>
      <c r="AX85" s="728">
        <v>0.192</v>
      </c>
      <c r="AY85" s="730">
        <v>7</v>
      </c>
      <c r="AZ85" s="728">
        <v>8.5999999999999993E-2</v>
      </c>
      <c r="BA85" s="730">
        <v>8</v>
      </c>
      <c r="BB85" s="733">
        <v>5.7000000000000002E-2</v>
      </c>
      <c r="BC85" s="730">
        <v>2</v>
      </c>
      <c r="BD85" s="6"/>
    </row>
    <row r="86" spans="7:56" s="704" customFormat="1">
      <c r="G86" s="1546"/>
      <c r="W86" s="6"/>
      <c r="X86" s="829" t="s">
        <v>1707</v>
      </c>
      <c r="Y86" s="829"/>
      <c r="Z86" s="741">
        <v>9</v>
      </c>
      <c r="AA86" s="742">
        <v>15</v>
      </c>
      <c r="AB86" s="740" t="s">
        <v>1707</v>
      </c>
      <c r="AC86" s="742">
        <v>8</v>
      </c>
      <c r="AD86" s="742">
        <v>15</v>
      </c>
      <c r="AE86" s="770" t="s">
        <v>2510</v>
      </c>
      <c r="AF86" s="771" t="s">
        <v>653</v>
      </c>
      <c r="AG86" s="742"/>
      <c r="AH86" s="454" t="s">
        <v>423</v>
      </c>
      <c r="AI86" s="455">
        <v>9588</v>
      </c>
      <c r="AJ86" s="724">
        <v>2.5134649910233394E-2</v>
      </c>
      <c r="AK86" s="725">
        <v>27</v>
      </c>
      <c r="AL86" s="726">
        <v>38642</v>
      </c>
      <c r="AM86" s="725">
        <v>16</v>
      </c>
      <c r="AN86" s="727">
        <v>0.57999999999999996</v>
      </c>
      <c r="AO86" s="725">
        <v>16</v>
      </c>
      <c r="AP86" s="727">
        <v>0.14699999999999999</v>
      </c>
      <c r="AQ86" s="725">
        <v>6</v>
      </c>
      <c r="AR86" s="728">
        <v>0.71299999999999997</v>
      </c>
      <c r="AS86" s="729">
        <v>8</v>
      </c>
      <c r="AT86" s="728">
        <v>2.3E-2</v>
      </c>
      <c r="AU86" s="730">
        <v>8</v>
      </c>
      <c r="AV86" s="731">
        <v>0.26100000000000001</v>
      </c>
      <c r="AW86" s="730">
        <v>7</v>
      </c>
      <c r="AX86" s="728">
        <v>0.28800000000000003</v>
      </c>
      <c r="AY86" s="730">
        <v>6</v>
      </c>
      <c r="AZ86" s="728">
        <v>9.0999999999999998E-2</v>
      </c>
      <c r="BA86" s="730">
        <v>7</v>
      </c>
      <c r="BB86" s="733">
        <v>5.7000000000000002E-2</v>
      </c>
      <c r="BC86" s="730">
        <v>2</v>
      </c>
      <c r="BD86" s="6"/>
    </row>
    <row r="87" spans="7:56" s="704" customFormat="1">
      <c r="G87" s="1546"/>
      <c r="W87" s="6"/>
      <c r="X87" s="829" t="s">
        <v>1708</v>
      </c>
      <c r="Y87" s="829"/>
      <c r="Z87" s="741">
        <v>48</v>
      </c>
      <c r="AA87" s="742">
        <v>2</v>
      </c>
      <c r="AB87" s="740" t="s">
        <v>1708</v>
      </c>
      <c r="AC87" s="742">
        <v>51</v>
      </c>
      <c r="AD87" s="742">
        <v>1</v>
      </c>
      <c r="AE87" s="770" t="s">
        <v>1047</v>
      </c>
      <c r="AF87" s="771" t="s">
        <v>1450</v>
      </c>
      <c r="AG87" s="742"/>
      <c r="AH87" s="454" t="s">
        <v>424</v>
      </c>
      <c r="AI87" s="455">
        <v>9679</v>
      </c>
      <c r="AJ87" s="724">
        <v>9.106830122591944E-2</v>
      </c>
      <c r="AK87" s="725">
        <v>15</v>
      </c>
      <c r="AL87" s="726">
        <v>42213</v>
      </c>
      <c r="AM87" s="725">
        <v>14</v>
      </c>
      <c r="AN87" s="727">
        <v>0.33600000000000002</v>
      </c>
      <c r="AO87" s="725">
        <v>6</v>
      </c>
      <c r="AP87" s="727">
        <v>5.5999999999999994E-2</v>
      </c>
      <c r="AQ87" s="725">
        <v>16</v>
      </c>
      <c r="AR87" s="728">
        <v>0.78799999999999992</v>
      </c>
      <c r="AS87" s="729">
        <v>9</v>
      </c>
      <c r="AT87" s="728">
        <v>0.02</v>
      </c>
      <c r="AU87" s="730">
        <v>9</v>
      </c>
      <c r="AV87" s="731">
        <v>0.27399999999999997</v>
      </c>
      <c r="AW87" s="730">
        <v>7</v>
      </c>
      <c r="AX87" s="728">
        <v>0.255</v>
      </c>
      <c r="AY87" s="730">
        <v>6</v>
      </c>
      <c r="AZ87" s="728">
        <v>0.13900000000000001</v>
      </c>
      <c r="BA87" s="730">
        <v>6</v>
      </c>
      <c r="BB87" s="733">
        <v>6.2E-2</v>
      </c>
      <c r="BC87" s="730">
        <v>2</v>
      </c>
      <c r="BD87" s="6"/>
    </row>
    <row r="88" spans="7:56" s="704" customFormat="1">
      <c r="G88" s="1546"/>
      <c r="W88" s="6"/>
      <c r="X88" s="829" t="s">
        <v>1709</v>
      </c>
      <c r="Y88" s="829"/>
      <c r="Z88" s="741">
        <v>7</v>
      </c>
      <c r="AA88" s="742">
        <v>15</v>
      </c>
      <c r="AB88" s="740" t="s">
        <v>1709</v>
      </c>
      <c r="AC88" s="742">
        <v>10</v>
      </c>
      <c r="AD88" s="742">
        <v>15</v>
      </c>
      <c r="AE88" s="770" t="s">
        <v>1048</v>
      </c>
      <c r="AF88" s="771" t="s">
        <v>653</v>
      </c>
      <c r="AG88" s="742"/>
      <c r="AH88" s="454" t="s">
        <v>424</v>
      </c>
      <c r="AI88" s="455">
        <v>9680</v>
      </c>
      <c r="AJ88" s="724">
        <v>9.106830122591944E-2</v>
      </c>
      <c r="AK88" s="725">
        <v>15</v>
      </c>
      <c r="AL88" s="726">
        <v>42213</v>
      </c>
      <c r="AM88" s="725">
        <v>14</v>
      </c>
      <c r="AN88" s="727">
        <v>0.33600000000000002</v>
      </c>
      <c r="AO88" s="725">
        <v>6</v>
      </c>
      <c r="AP88" s="727">
        <v>5.5999999999999994E-2</v>
      </c>
      <c r="AQ88" s="725">
        <v>16</v>
      </c>
      <c r="AR88" s="728">
        <v>0.81499999999999995</v>
      </c>
      <c r="AS88" s="729">
        <v>9</v>
      </c>
      <c r="AT88" s="728">
        <v>1.7000000000000001E-2</v>
      </c>
      <c r="AU88" s="730">
        <v>9</v>
      </c>
      <c r="AV88" s="731">
        <v>0.19600000000000001</v>
      </c>
      <c r="AW88" s="730">
        <v>8</v>
      </c>
      <c r="AX88" s="728">
        <v>0.185</v>
      </c>
      <c r="AY88" s="730">
        <v>7</v>
      </c>
      <c r="AZ88" s="728">
        <v>0.127</v>
      </c>
      <c r="BA88" s="730">
        <v>6</v>
      </c>
      <c r="BB88" s="733">
        <v>0.14199999999999999</v>
      </c>
      <c r="BC88" s="730">
        <v>4</v>
      </c>
      <c r="BD88" s="6"/>
    </row>
    <row r="89" spans="7:56" s="704" customFormat="1">
      <c r="G89" s="1546"/>
      <c r="W89" s="6"/>
      <c r="X89" s="829" t="s">
        <v>1710</v>
      </c>
      <c r="Y89" s="829"/>
      <c r="Z89" s="741">
        <v>19</v>
      </c>
      <c r="AA89" s="742">
        <v>8</v>
      </c>
      <c r="AB89" s="740" t="s">
        <v>1710</v>
      </c>
      <c r="AC89" s="742">
        <v>26</v>
      </c>
      <c r="AD89" s="742">
        <v>6</v>
      </c>
      <c r="AE89" s="770" t="s">
        <v>1049</v>
      </c>
      <c r="AF89" s="771" t="s">
        <v>652</v>
      </c>
      <c r="AG89" s="742"/>
      <c r="AH89" s="454" t="s">
        <v>424</v>
      </c>
      <c r="AI89" s="455">
        <v>9681</v>
      </c>
      <c r="AJ89" s="724">
        <v>9.106830122591944E-2</v>
      </c>
      <c r="AK89" s="725">
        <v>15</v>
      </c>
      <c r="AL89" s="726">
        <v>42213</v>
      </c>
      <c r="AM89" s="725">
        <v>14</v>
      </c>
      <c r="AN89" s="727">
        <v>0.33600000000000002</v>
      </c>
      <c r="AO89" s="725">
        <v>6</v>
      </c>
      <c r="AP89" s="727">
        <v>5.5999999999999994E-2</v>
      </c>
      <c r="AQ89" s="725">
        <v>16</v>
      </c>
      <c r="AR89" s="728">
        <v>0.77200000000000002</v>
      </c>
      <c r="AS89" s="729">
        <v>9</v>
      </c>
      <c r="AT89" s="728">
        <v>1.4999999999999999E-2</v>
      </c>
      <c r="AU89" s="730">
        <v>9</v>
      </c>
      <c r="AV89" s="731">
        <v>0.17499999999999999</v>
      </c>
      <c r="AW89" s="730">
        <v>8</v>
      </c>
      <c r="AX89" s="728">
        <v>0.19500000000000001</v>
      </c>
      <c r="AY89" s="730">
        <v>7</v>
      </c>
      <c r="AZ89" s="728">
        <v>0.155</v>
      </c>
      <c r="BA89" s="730">
        <v>5</v>
      </c>
      <c r="BB89" s="733">
        <v>0.121</v>
      </c>
      <c r="BC89" s="730">
        <v>4</v>
      </c>
      <c r="BD89" s="6"/>
    </row>
    <row r="90" spans="7:56" s="704" customFormat="1">
      <c r="G90" s="1546"/>
      <c r="W90" s="6"/>
      <c r="X90" s="829" t="s">
        <v>1711</v>
      </c>
      <c r="Y90" s="829"/>
      <c r="Z90" s="741">
        <v>44</v>
      </c>
      <c r="AA90" s="742">
        <v>3</v>
      </c>
      <c r="AB90" s="740" t="s">
        <v>1711</v>
      </c>
      <c r="AC90" s="742">
        <v>43</v>
      </c>
      <c r="AD90" s="742">
        <v>3</v>
      </c>
      <c r="AE90" s="770" t="s">
        <v>1050</v>
      </c>
      <c r="AF90" s="771" t="s">
        <v>1450</v>
      </c>
      <c r="AG90" s="742"/>
      <c r="AH90" s="454" t="s">
        <v>425</v>
      </c>
      <c r="AI90" s="455">
        <v>311.01</v>
      </c>
      <c r="AJ90" s="724">
        <v>4.3650793650793648E-2</v>
      </c>
      <c r="AK90" s="725">
        <v>24</v>
      </c>
      <c r="AL90" s="726">
        <v>49772</v>
      </c>
      <c r="AM90" s="725">
        <v>12</v>
      </c>
      <c r="AN90" s="727">
        <v>0.40500000000000003</v>
      </c>
      <c r="AO90" s="725">
        <v>8</v>
      </c>
      <c r="AP90" s="727">
        <v>4.2000000000000003E-2</v>
      </c>
      <c r="AQ90" s="725">
        <v>16</v>
      </c>
      <c r="AR90" s="728">
        <v>0.64500000000000002</v>
      </c>
      <c r="AS90" s="729">
        <v>7</v>
      </c>
      <c r="AT90" s="728">
        <v>1.7000000000000001E-2</v>
      </c>
      <c r="AU90" s="730">
        <v>9</v>
      </c>
      <c r="AV90" s="731">
        <v>0.115</v>
      </c>
      <c r="AW90" s="730">
        <v>9</v>
      </c>
      <c r="AX90" s="728">
        <v>0.11</v>
      </c>
      <c r="AY90" s="730">
        <v>9</v>
      </c>
      <c r="AZ90" s="728">
        <v>1.1000000000000001E-2</v>
      </c>
      <c r="BA90" s="730">
        <v>10</v>
      </c>
      <c r="BB90" s="733">
        <v>0.126</v>
      </c>
      <c r="BC90" s="730">
        <v>4</v>
      </c>
      <c r="BD90" s="6"/>
    </row>
    <row r="91" spans="7:56" s="704" customFormat="1">
      <c r="G91" s="1546"/>
      <c r="W91" s="6"/>
      <c r="X91" s="829" t="s">
        <v>1712</v>
      </c>
      <c r="Y91" s="829"/>
      <c r="Z91" s="741">
        <v>1</v>
      </c>
      <c r="AA91" s="742">
        <v>20</v>
      </c>
      <c r="AB91" s="740" t="s">
        <v>1712</v>
      </c>
      <c r="AC91" s="742">
        <v>3</v>
      </c>
      <c r="AD91" s="742">
        <v>20</v>
      </c>
      <c r="AE91" s="770" t="s">
        <v>1051</v>
      </c>
      <c r="AF91" s="771" t="s">
        <v>1450</v>
      </c>
      <c r="AG91" s="742"/>
      <c r="AH91" s="454" t="s">
        <v>425</v>
      </c>
      <c r="AI91" s="455">
        <v>311.02</v>
      </c>
      <c r="AJ91" s="724">
        <v>4.3650793650793648E-2</v>
      </c>
      <c r="AK91" s="725">
        <v>24</v>
      </c>
      <c r="AL91" s="726">
        <v>49772</v>
      </c>
      <c r="AM91" s="725">
        <v>12</v>
      </c>
      <c r="AN91" s="727">
        <v>0.40500000000000003</v>
      </c>
      <c r="AO91" s="725">
        <v>8</v>
      </c>
      <c r="AP91" s="727">
        <v>4.2000000000000003E-2</v>
      </c>
      <c r="AQ91" s="725">
        <v>16</v>
      </c>
      <c r="AR91" s="728">
        <v>0.81599999999999995</v>
      </c>
      <c r="AS91" s="729">
        <v>9</v>
      </c>
      <c r="AT91" s="728">
        <v>1.8000000000000002E-2</v>
      </c>
      <c r="AU91" s="730">
        <v>9</v>
      </c>
      <c r="AV91" s="731">
        <v>0.11</v>
      </c>
      <c r="AW91" s="730">
        <v>9</v>
      </c>
      <c r="AX91" s="728">
        <v>9.0999999999999998E-2</v>
      </c>
      <c r="AY91" s="730">
        <v>9</v>
      </c>
      <c r="AZ91" s="728">
        <v>4.7E-2</v>
      </c>
      <c r="BA91" s="730">
        <v>9</v>
      </c>
      <c r="BB91" s="733">
        <v>0.129</v>
      </c>
      <c r="BC91" s="730">
        <v>4</v>
      </c>
      <c r="BD91" s="6"/>
    </row>
    <row r="92" spans="7:56" s="704" customFormat="1">
      <c r="G92" s="1546"/>
      <c r="W92" s="6"/>
      <c r="X92" s="829" t="s">
        <v>1713</v>
      </c>
      <c r="Y92" s="829"/>
      <c r="Z92" s="741">
        <v>41</v>
      </c>
      <c r="AA92" s="742">
        <v>3</v>
      </c>
      <c r="AB92" s="740" t="s">
        <v>1713</v>
      </c>
      <c r="AC92" s="742">
        <v>47</v>
      </c>
      <c r="AD92" s="742">
        <v>2</v>
      </c>
      <c r="AE92" s="770" t="s">
        <v>1052</v>
      </c>
      <c r="AF92" s="771" t="s">
        <v>1450</v>
      </c>
      <c r="AG92" s="742"/>
      <c r="AH92" s="454" t="s">
        <v>425</v>
      </c>
      <c r="AI92" s="455">
        <v>312</v>
      </c>
      <c r="AJ92" s="724">
        <v>4.3650793650793648E-2</v>
      </c>
      <c r="AK92" s="725">
        <v>24</v>
      </c>
      <c r="AL92" s="726">
        <v>49772</v>
      </c>
      <c r="AM92" s="725">
        <v>12</v>
      </c>
      <c r="AN92" s="727">
        <v>0.40500000000000003</v>
      </c>
      <c r="AO92" s="725">
        <v>8</v>
      </c>
      <c r="AP92" s="727">
        <v>4.2000000000000003E-2</v>
      </c>
      <c r="AQ92" s="725">
        <v>16</v>
      </c>
      <c r="AR92" s="728">
        <v>0.74199999999999999</v>
      </c>
      <c r="AS92" s="729">
        <v>8</v>
      </c>
      <c r="AT92" s="728">
        <v>4.8999999999999995E-2</v>
      </c>
      <c r="AU92" s="730">
        <v>6</v>
      </c>
      <c r="AV92" s="731">
        <v>0.21</v>
      </c>
      <c r="AW92" s="730">
        <v>8</v>
      </c>
      <c r="AX92" s="728">
        <v>0.15</v>
      </c>
      <c r="AY92" s="730">
        <v>8</v>
      </c>
      <c r="AZ92" s="728">
        <v>4.4999999999999998E-2</v>
      </c>
      <c r="BA92" s="730">
        <v>9</v>
      </c>
      <c r="BB92" s="733">
        <v>0.1</v>
      </c>
      <c r="BC92" s="730">
        <v>3</v>
      </c>
      <c r="BD92" s="6"/>
    </row>
    <row r="93" spans="7:56" s="704" customFormat="1">
      <c r="G93" s="1546"/>
      <c r="W93" s="6"/>
      <c r="X93" s="829" t="s">
        <v>1714</v>
      </c>
      <c r="Y93" s="829"/>
      <c r="Z93" s="741">
        <v>42</v>
      </c>
      <c r="AA93" s="742">
        <v>3</v>
      </c>
      <c r="AB93" s="740" t="s">
        <v>1714</v>
      </c>
      <c r="AC93" s="742">
        <v>34</v>
      </c>
      <c r="AD93" s="742">
        <v>5</v>
      </c>
      <c r="AE93" s="770" t="s">
        <v>1053</v>
      </c>
      <c r="AF93" s="771" t="s">
        <v>652</v>
      </c>
      <c r="AG93" s="742"/>
      <c r="AH93" s="454" t="s">
        <v>425</v>
      </c>
      <c r="AI93" s="455">
        <v>314</v>
      </c>
      <c r="AJ93" s="724">
        <v>4.3650793650793648E-2</v>
      </c>
      <c r="AK93" s="725">
        <v>24</v>
      </c>
      <c r="AL93" s="726">
        <v>49772</v>
      </c>
      <c r="AM93" s="725">
        <v>12</v>
      </c>
      <c r="AN93" s="727">
        <v>0.40500000000000003</v>
      </c>
      <c r="AO93" s="725">
        <v>8</v>
      </c>
      <c r="AP93" s="727">
        <v>4.2000000000000003E-2</v>
      </c>
      <c r="AQ93" s="725">
        <v>16</v>
      </c>
      <c r="AR93" s="728">
        <v>0.63100000000000001</v>
      </c>
      <c r="AS93" s="729">
        <v>7</v>
      </c>
      <c r="AT93" s="728">
        <v>2.7999999999999997E-2</v>
      </c>
      <c r="AU93" s="730">
        <v>8</v>
      </c>
      <c r="AV93" s="731">
        <v>0.191</v>
      </c>
      <c r="AW93" s="730">
        <v>8</v>
      </c>
      <c r="AX93" s="728">
        <v>0.22399999999999998</v>
      </c>
      <c r="AY93" s="730">
        <v>7</v>
      </c>
      <c r="AZ93" s="728">
        <v>9.0000000000000011E-3</v>
      </c>
      <c r="BA93" s="730">
        <v>10</v>
      </c>
      <c r="BB93" s="733">
        <v>8.8000000000000009E-2</v>
      </c>
      <c r="BC93" s="730">
        <v>3</v>
      </c>
      <c r="BD93" s="6"/>
    </row>
    <row r="94" spans="7:56" s="704" customFormat="1">
      <c r="G94" s="1546"/>
      <c r="W94" s="6"/>
      <c r="X94" s="829" t="s">
        <v>1715</v>
      </c>
      <c r="Y94" s="829"/>
      <c r="Z94" s="741">
        <v>38</v>
      </c>
      <c r="AA94" s="742">
        <v>4</v>
      </c>
      <c r="AB94" s="740" t="s">
        <v>1715</v>
      </c>
      <c r="AC94" s="742">
        <v>35</v>
      </c>
      <c r="AD94" s="742">
        <v>5</v>
      </c>
      <c r="AE94" s="770" t="s">
        <v>1054</v>
      </c>
      <c r="AF94" s="771" t="s">
        <v>1450</v>
      </c>
      <c r="AG94" s="742"/>
      <c r="AH94" s="454" t="s">
        <v>425</v>
      </c>
      <c r="AI94" s="455">
        <v>316</v>
      </c>
      <c r="AJ94" s="724">
        <v>4.3650793650793648E-2</v>
      </c>
      <c r="AK94" s="725">
        <v>24</v>
      </c>
      <c r="AL94" s="726">
        <v>49772</v>
      </c>
      <c r="AM94" s="725">
        <v>12</v>
      </c>
      <c r="AN94" s="727">
        <v>0.40500000000000003</v>
      </c>
      <c r="AO94" s="725">
        <v>8</v>
      </c>
      <c r="AP94" s="727">
        <v>4.2000000000000003E-2</v>
      </c>
      <c r="AQ94" s="725">
        <v>16</v>
      </c>
      <c r="AR94" s="728">
        <v>0.90400000000000003</v>
      </c>
      <c r="AS94" s="729">
        <v>10</v>
      </c>
      <c r="AT94" s="728">
        <v>0</v>
      </c>
      <c r="AU94" s="730">
        <v>10</v>
      </c>
      <c r="AV94" s="731">
        <v>7.4999999999999997E-2</v>
      </c>
      <c r="AW94" s="730">
        <v>10</v>
      </c>
      <c r="AX94" s="728">
        <v>7.8E-2</v>
      </c>
      <c r="AY94" s="730">
        <v>9</v>
      </c>
      <c r="AZ94" s="728">
        <v>4.5999999999999999E-2</v>
      </c>
      <c r="BA94" s="730">
        <v>9</v>
      </c>
      <c r="BB94" s="733">
        <v>0.161</v>
      </c>
      <c r="BC94" s="730">
        <v>5</v>
      </c>
      <c r="BD94" s="6"/>
    </row>
    <row r="95" spans="7:56" s="704" customFormat="1">
      <c r="G95" s="1546"/>
      <c r="W95" s="6"/>
      <c r="X95" s="829" t="s">
        <v>1716</v>
      </c>
      <c r="Y95" s="829"/>
      <c r="Z95" s="741">
        <v>18</v>
      </c>
      <c r="AA95" s="742">
        <v>8</v>
      </c>
      <c r="AB95" s="740" t="s">
        <v>1716</v>
      </c>
      <c r="AC95" s="742">
        <v>17</v>
      </c>
      <c r="AD95" s="742">
        <v>8</v>
      </c>
      <c r="AE95" s="770" t="s">
        <v>1055</v>
      </c>
      <c r="AF95" s="771" t="s">
        <v>653</v>
      </c>
      <c r="AG95" s="742"/>
      <c r="AH95" s="454" t="s">
        <v>425</v>
      </c>
      <c r="AI95" s="455">
        <v>317</v>
      </c>
      <c r="AJ95" s="724">
        <v>4.3650793650793648E-2</v>
      </c>
      <c r="AK95" s="725">
        <v>24</v>
      </c>
      <c r="AL95" s="726">
        <v>49772</v>
      </c>
      <c r="AM95" s="725">
        <v>12</v>
      </c>
      <c r="AN95" s="727">
        <v>0.40500000000000003</v>
      </c>
      <c r="AO95" s="725">
        <v>8</v>
      </c>
      <c r="AP95" s="727">
        <v>4.2000000000000003E-2</v>
      </c>
      <c r="AQ95" s="725">
        <v>16</v>
      </c>
      <c r="AR95" s="728">
        <v>0.87400000000000011</v>
      </c>
      <c r="AS95" s="729">
        <v>10</v>
      </c>
      <c r="AT95" s="728">
        <v>0.02</v>
      </c>
      <c r="AU95" s="730">
        <v>9</v>
      </c>
      <c r="AV95" s="731">
        <v>0.113</v>
      </c>
      <c r="AW95" s="730">
        <v>9</v>
      </c>
      <c r="AX95" s="728">
        <v>9.8000000000000004E-2</v>
      </c>
      <c r="AY95" s="730">
        <v>9</v>
      </c>
      <c r="AZ95" s="728">
        <v>0.03</v>
      </c>
      <c r="BA95" s="730">
        <v>9</v>
      </c>
      <c r="BB95" s="733">
        <v>0.13800000000000001</v>
      </c>
      <c r="BC95" s="730">
        <v>4</v>
      </c>
      <c r="BD95" s="6"/>
    </row>
    <row r="96" spans="7:56" s="704" customFormat="1">
      <c r="G96" s="1546"/>
      <c r="W96" s="6"/>
      <c r="X96" s="829" t="s">
        <v>1717</v>
      </c>
      <c r="Y96" s="829"/>
      <c r="Z96" s="741">
        <v>51</v>
      </c>
      <c r="AA96" s="742">
        <v>1</v>
      </c>
      <c r="AB96" s="740" t="s">
        <v>1717</v>
      </c>
      <c r="AC96" s="742">
        <v>46</v>
      </c>
      <c r="AD96" s="742">
        <v>2</v>
      </c>
      <c r="AE96" s="770" t="s">
        <v>1056</v>
      </c>
      <c r="AF96" s="771" t="s">
        <v>653</v>
      </c>
      <c r="AG96" s="742"/>
      <c r="AH96" s="454" t="s">
        <v>426</v>
      </c>
      <c r="AI96" s="455">
        <v>1.01</v>
      </c>
      <c r="AJ96" s="724">
        <v>6.4953271028037385E-2</v>
      </c>
      <c r="AK96" s="725">
        <v>18</v>
      </c>
      <c r="AL96" s="726">
        <v>38321</v>
      </c>
      <c r="AM96" s="725">
        <v>16</v>
      </c>
      <c r="AN96" s="727">
        <v>0.56200000000000006</v>
      </c>
      <c r="AO96" s="725">
        <v>16</v>
      </c>
      <c r="AP96" s="727">
        <v>0.08</v>
      </c>
      <c r="AQ96" s="725">
        <v>12</v>
      </c>
      <c r="AR96" s="728">
        <v>0.69700000000000006</v>
      </c>
      <c r="AS96" s="729">
        <v>8</v>
      </c>
      <c r="AT96" s="728">
        <v>0</v>
      </c>
      <c r="AU96" s="730">
        <v>10</v>
      </c>
      <c r="AV96" s="731">
        <v>0.36399999999999999</v>
      </c>
      <c r="AW96" s="730">
        <v>6</v>
      </c>
      <c r="AX96" s="728">
        <v>0.26</v>
      </c>
      <c r="AY96" s="730">
        <v>6</v>
      </c>
      <c r="AZ96" s="728">
        <v>0.11599999999999999</v>
      </c>
      <c r="BA96" s="730">
        <v>7</v>
      </c>
      <c r="BB96" s="733">
        <v>8.4000000000000005E-2</v>
      </c>
      <c r="BC96" s="730">
        <v>3</v>
      </c>
      <c r="BD96" s="6"/>
    </row>
    <row r="97" spans="7:56" s="704" customFormat="1">
      <c r="G97" s="1546"/>
      <c r="W97" s="6"/>
      <c r="X97" s="829" t="s">
        <v>1718</v>
      </c>
      <c r="Y97" s="829"/>
      <c r="Z97" s="741">
        <v>37</v>
      </c>
      <c r="AA97" s="742">
        <v>4</v>
      </c>
      <c r="AB97" s="740" t="s">
        <v>1718</v>
      </c>
      <c r="AC97" s="742">
        <v>43</v>
      </c>
      <c r="AD97" s="742">
        <v>3</v>
      </c>
      <c r="AE97" s="770" t="s">
        <v>1057</v>
      </c>
      <c r="AF97" s="771" t="s">
        <v>653</v>
      </c>
      <c r="AG97" s="742"/>
      <c r="AH97" s="454" t="s">
        <v>426</v>
      </c>
      <c r="AI97" s="455">
        <v>1.02</v>
      </c>
      <c r="AJ97" s="724">
        <v>6.4953271028037385E-2</v>
      </c>
      <c r="AK97" s="725">
        <v>18</v>
      </c>
      <c r="AL97" s="726">
        <v>38321</v>
      </c>
      <c r="AM97" s="725">
        <v>16</v>
      </c>
      <c r="AN97" s="727">
        <v>0.56200000000000006</v>
      </c>
      <c r="AO97" s="725">
        <v>16</v>
      </c>
      <c r="AP97" s="727">
        <v>0.08</v>
      </c>
      <c r="AQ97" s="725">
        <v>12</v>
      </c>
      <c r="AR97" s="728">
        <v>0.6</v>
      </c>
      <c r="AS97" s="729">
        <v>7</v>
      </c>
      <c r="AT97" s="728">
        <v>4.0000000000000001E-3</v>
      </c>
      <c r="AU97" s="730">
        <v>10</v>
      </c>
      <c r="AV97" s="731">
        <v>0.161</v>
      </c>
      <c r="AW97" s="730">
        <v>8</v>
      </c>
      <c r="AX97" s="728">
        <v>0.17899999999999999</v>
      </c>
      <c r="AY97" s="730">
        <v>8</v>
      </c>
      <c r="AZ97" s="728">
        <v>4.9000000000000002E-2</v>
      </c>
      <c r="BA97" s="730">
        <v>9</v>
      </c>
      <c r="BB97" s="733">
        <v>0.17100000000000001</v>
      </c>
      <c r="BC97" s="730">
        <v>5</v>
      </c>
      <c r="BD97" s="6"/>
    </row>
    <row r="98" spans="7:56" s="704" customFormat="1">
      <c r="G98" s="1546"/>
      <c r="W98" s="6"/>
      <c r="X98" s="829" t="s">
        <v>1719</v>
      </c>
      <c r="Y98" s="829"/>
      <c r="Z98" s="741">
        <v>49</v>
      </c>
      <c r="AA98" s="742">
        <v>2</v>
      </c>
      <c r="AB98" s="740" t="s">
        <v>1719</v>
      </c>
      <c r="AC98" s="742">
        <v>47</v>
      </c>
      <c r="AD98" s="742">
        <v>2</v>
      </c>
      <c r="AE98" s="770" t="s">
        <v>1058</v>
      </c>
      <c r="AF98" s="771" t="s">
        <v>1450</v>
      </c>
      <c r="AG98" s="742"/>
      <c r="AH98" s="454" t="s">
        <v>426</v>
      </c>
      <c r="AI98" s="455">
        <v>2</v>
      </c>
      <c r="AJ98" s="724">
        <v>6.4953271028037385E-2</v>
      </c>
      <c r="AK98" s="725">
        <v>18</v>
      </c>
      <c r="AL98" s="726">
        <v>38321</v>
      </c>
      <c r="AM98" s="725">
        <v>16</v>
      </c>
      <c r="AN98" s="727">
        <v>0.56200000000000006</v>
      </c>
      <c r="AO98" s="725">
        <v>16</v>
      </c>
      <c r="AP98" s="727">
        <v>0.08</v>
      </c>
      <c r="AQ98" s="725">
        <v>12</v>
      </c>
      <c r="AR98" s="728">
        <v>0.621</v>
      </c>
      <c r="AS98" s="729">
        <v>7</v>
      </c>
      <c r="AT98" s="728">
        <v>1.6E-2</v>
      </c>
      <c r="AU98" s="730">
        <v>9</v>
      </c>
      <c r="AV98" s="731">
        <v>0.34399999999999997</v>
      </c>
      <c r="AW98" s="730">
        <v>6</v>
      </c>
      <c r="AX98" s="728">
        <v>0.40200000000000002</v>
      </c>
      <c r="AY98" s="730">
        <v>4</v>
      </c>
      <c r="AZ98" s="728">
        <v>2.7000000000000003E-2</v>
      </c>
      <c r="BA98" s="730">
        <v>10</v>
      </c>
      <c r="BB98" s="733">
        <v>5.9000000000000004E-2</v>
      </c>
      <c r="BC98" s="730">
        <v>2</v>
      </c>
      <c r="BD98" s="6"/>
    </row>
    <row r="99" spans="7:56" s="704" customFormat="1">
      <c r="G99" s="1546"/>
      <c r="W99" s="6"/>
      <c r="X99" s="829" t="s">
        <v>1720</v>
      </c>
      <c r="Y99" s="829"/>
      <c r="Z99" s="741">
        <v>8</v>
      </c>
      <c r="AA99" s="742">
        <v>15</v>
      </c>
      <c r="AB99" s="740" t="s">
        <v>1720</v>
      </c>
      <c r="AC99" s="742">
        <v>8</v>
      </c>
      <c r="AD99" s="742">
        <v>15</v>
      </c>
      <c r="AE99" s="770" t="s">
        <v>1059</v>
      </c>
      <c r="AF99" s="771" t="s">
        <v>653</v>
      </c>
      <c r="AG99" s="742"/>
      <c r="AH99" s="454" t="s">
        <v>426</v>
      </c>
      <c r="AI99" s="455">
        <v>3</v>
      </c>
      <c r="AJ99" s="724">
        <v>6.4953271028037385E-2</v>
      </c>
      <c r="AK99" s="725">
        <v>18</v>
      </c>
      <c r="AL99" s="726">
        <v>38321</v>
      </c>
      <c r="AM99" s="725">
        <v>16</v>
      </c>
      <c r="AN99" s="727">
        <v>0.56200000000000006</v>
      </c>
      <c r="AO99" s="725">
        <v>16</v>
      </c>
      <c r="AP99" s="727">
        <v>0.08</v>
      </c>
      <c r="AQ99" s="725">
        <v>12</v>
      </c>
      <c r="AR99" s="728">
        <v>0.52</v>
      </c>
      <c r="AS99" s="729">
        <v>6</v>
      </c>
      <c r="AT99" s="728">
        <v>1.3999999999999999E-2</v>
      </c>
      <c r="AU99" s="730">
        <v>9</v>
      </c>
      <c r="AV99" s="731">
        <v>0.24199999999999999</v>
      </c>
      <c r="AW99" s="730">
        <v>7</v>
      </c>
      <c r="AX99" s="728">
        <v>0.19899999999999998</v>
      </c>
      <c r="AY99" s="730">
        <v>7</v>
      </c>
      <c r="AZ99" s="728">
        <v>0.13900000000000001</v>
      </c>
      <c r="BA99" s="730">
        <v>6</v>
      </c>
      <c r="BB99" s="733">
        <v>0.13800000000000001</v>
      </c>
      <c r="BC99" s="730">
        <v>4</v>
      </c>
      <c r="BD99" s="6"/>
    </row>
    <row r="100" spans="7:56" s="704" customFormat="1">
      <c r="G100" s="1546"/>
      <c r="W100" s="6"/>
      <c r="X100" s="829" t="s">
        <v>1721</v>
      </c>
      <c r="Y100" s="829"/>
      <c r="Z100" s="741">
        <v>55</v>
      </c>
      <c r="AA100" s="742">
        <v>1</v>
      </c>
      <c r="AB100" s="740" t="s">
        <v>1721</v>
      </c>
      <c r="AC100" s="742">
        <v>55</v>
      </c>
      <c r="AD100" s="742">
        <v>1</v>
      </c>
      <c r="AE100" s="770" t="s">
        <v>1060</v>
      </c>
      <c r="AF100" s="771" t="s">
        <v>1450</v>
      </c>
      <c r="AG100" s="742"/>
      <c r="AH100" s="454" t="s">
        <v>426</v>
      </c>
      <c r="AI100" s="455">
        <v>4</v>
      </c>
      <c r="AJ100" s="724">
        <v>6.4953271028037385E-2</v>
      </c>
      <c r="AK100" s="725">
        <v>18</v>
      </c>
      <c r="AL100" s="726">
        <v>38321</v>
      </c>
      <c r="AM100" s="725">
        <v>16</v>
      </c>
      <c r="AN100" s="727">
        <v>0.56200000000000006</v>
      </c>
      <c r="AO100" s="725">
        <v>16</v>
      </c>
      <c r="AP100" s="727">
        <v>0.08</v>
      </c>
      <c r="AQ100" s="725">
        <v>12</v>
      </c>
      <c r="AR100" s="728">
        <v>0.21</v>
      </c>
      <c r="AS100" s="729">
        <v>3</v>
      </c>
      <c r="AT100" s="728">
        <v>1.6E-2</v>
      </c>
      <c r="AU100" s="730">
        <v>9</v>
      </c>
      <c r="AV100" s="731">
        <v>0.66299999999999992</v>
      </c>
      <c r="AW100" s="730">
        <v>2</v>
      </c>
      <c r="AX100" s="728">
        <v>0.20199999999999999</v>
      </c>
      <c r="AY100" s="730">
        <v>7</v>
      </c>
      <c r="AZ100" s="728">
        <v>9.3000000000000013E-2</v>
      </c>
      <c r="BA100" s="730">
        <v>7</v>
      </c>
      <c r="BB100" s="733">
        <v>6.3E-2</v>
      </c>
      <c r="BC100" s="730">
        <v>2</v>
      </c>
      <c r="BD100" s="6"/>
    </row>
    <row r="101" spans="7:56" s="704" customFormat="1">
      <c r="G101" s="1546"/>
      <c r="W101" s="6"/>
      <c r="X101" s="829" t="s">
        <v>1722</v>
      </c>
      <c r="Y101" s="829"/>
      <c r="Z101" s="741">
        <v>5</v>
      </c>
      <c r="AA101" s="742">
        <v>20</v>
      </c>
      <c r="AB101" s="740" t="s">
        <v>1722</v>
      </c>
      <c r="AC101" s="742">
        <v>6</v>
      </c>
      <c r="AD101" s="742">
        <v>15</v>
      </c>
      <c r="AE101" s="770" t="s">
        <v>2511</v>
      </c>
      <c r="AF101" s="771" t="s">
        <v>1450</v>
      </c>
      <c r="AG101" s="742"/>
      <c r="AH101" s="454" t="s">
        <v>426</v>
      </c>
      <c r="AI101" s="455">
        <v>5</v>
      </c>
      <c r="AJ101" s="724">
        <v>6.4953271028037385E-2</v>
      </c>
      <c r="AK101" s="725">
        <v>18</v>
      </c>
      <c r="AL101" s="726">
        <v>38321</v>
      </c>
      <c r="AM101" s="725">
        <v>16</v>
      </c>
      <c r="AN101" s="727">
        <v>0.56200000000000006</v>
      </c>
      <c r="AO101" s="725">
        <v>16</v>
      </c>
      <c r="AP101" s="727">
        <v>0.08</v>
      </c>
      <c r="AQ101" s="725">
        <v>12</v>
      </c>
      <c r="AR101" s="728">
        <v>3.3000000000000002E-2</v>
      </c>
      <c r="AS101" s="729">
        <v>1</v>
      </c>
      <c r="AT101" s="728">
        <v>0</v>
      </c>
      <c r="AU101" s="730">
        <v>10</v>
      </c>
      <c r="AV101" s="731">
        <v>0.67200000000000004</v>
      </c>
      <c r="AW101" s="730">
        <v>1</v>
      </c>
      <c r="AX101" s="728">
        <v>0.154</v>
      </c>
      <c r="AY101" s="730">
        <v>8</v>
      </c>
      <c r="AZ101" s="728">
        <v>0.12</v>
      </c>
      <c r="BA101" s="730">
        <v>6</v>
      </c>
      <c r="BB101" s="733">
        <v>0.25900000000000001</v>
      </c>
      <c r="BC101" s="730">
        <v>7</v>
      </c>
      <c r="BD101" s="6"/>
    </row>
    <row r="102" spans="7:56" s="704" customFormat="1">
      <c r="G102" s="1546"/>
      <c r="W102" s="6"/>
      <c r="X102" s="829" t="s">
        <v>1723</v>
      </c>
      <c r="Y102" s="829"/>
      <c r="Z102" s="741">
        <v>26</v>
      </c>
      <c r="AA102" s="742">
        <v>6</v>
      </c>
      <c r="AB102" s="740" t="s">
        <v>1723</v>
      </c>
      <c r="AC102" s="742">
        <v>22</v>
      </c>
      <c r="AD102" s="742">
        <v>7</v>
      </c>
      <c r="AE102" s="770" t="s">
        <v>1061</v>
      </c>
      <c r="AF102" s="771" t="s">
        <v>1450</v>
      </c>
      <c r="AG102" s="742"/>
      <c r="AH102" s="454" t="s">
        <v>426</v>
      </c>
      <c r="AI102" s="455">
        <v>6</v>
      </c>
      <c r="AJ102" s="724">
        <v>6.4953271028037385E-2</v>
      </c>
      <c r="AK102" s="725">
        <v>18</v>
      </c>
      <c r="AL102" s="726">
        <v>38321</v>
      </c>
      <c r="AM102" s="725">
        <v>16</v>
      </c>
      <c r="AN102" s="727">
        <v>0.56200000000000006</v>
      </c>
      <c r="AO102" s="725">
        <v>16</v>
      </c>
      <c r="AP102" s="727">
        <v>0.08</v>
      </c>
      <c r="AQ102" s="725">
        <v>12</v>
      </c>
      <c r="AR102" s="728">
        <v>3.6000000000000004E-2</v>
      </c>
      <c r="AS102" s="729">
        <v>1</v>
      </c>
      <c r="AT102" s="728">
        <v>0</v>
      </c>
      <c r="AU102" s="730">
        <v>10</v>
      </c>
      <c r="AV102" s="731">
        <v>0.6409999999999999</v>
      </c>
      <c r="AW102" s="730">
        <v>2</v>
      </c>
      <c r="AX102" s="728">
        <v>0.20800000000000002</v>
      </c>
      <c r="AY102" s="730">
        <v>7</v>
      </c>
      <c r="AZ102" s="728">
        <v>2.7000000000000003E-2</v>
      </c>
      <c r="BA102" s="730">
        <v>10</v>
      </c>
      <c r="BB102" s="733">
        <v>0.129</v>
      </c>
      <c r="BC102" s="730">
        <v>4</v>
      </c>
      <c r="BD102" s="6"/>
    </row>
    <row r="103" spans="7:56" s="704" customFormat="1">
      <c r="G103" s="1546"/>
      <c r="W103" s="6"/>
      <c r="X103" s="829" t="s">
        <v>1724</v>
      </c>
      <c r="Y103" s="829"/>
      <c r="Z103" s="741">
        <v>30</v>
      </c>
      <c r="AA103" s="742">
        <v>6</v>
      </c>
      <c r="AB103" s="740" t="s">
        <v>1724</v>
      </c>
      <c r="AC103" s="742">
        <v>23</v>
      </c>
      <c r="AD103" s="742">
        <v>7</v>
      </c>
      <c r="AE103" s="770" t="s">
        <v>2512</v>
      </c>
      <c r="AF103" s="771" t="s">
        <v>653</v>
      </c>
      <c r="AG103" s="742"/>
      <c r="AH103" s="454" t="s">
        <v>426</v>
      </c>
      <c r="AI103" s="455">
        <v>9</v>
      </c>
      <c r="AJ103" s="724">
        <v>6.4953271028037385E-2</v>
      </c>
      <c r="AK103" s="725">
        <v>18</v>
      </c>
      <c r="AL103" s="726">
        <v>38321</v>
      </c>
      <c r="AM103" s="725">
        <v>16</v>
      </c>
      <c r="AN103" s="727">
        <v>0.56200000000000006</v>
      </c>
      <c r="AO103" s="725">
        <v>16</v>
      </c>
      <c r="AP103" s="727">
        <v>0.08</v>
      </c>
      <c r="AQ103" s="725">
        <v>12</v>
      </c>
      <c r="AR103" s="728">
        <v>0.36</v>
      </c>
      <c r="AS103" s="729">
        <v>4</v>
      </c>
      <c r="AT103" s="728">
        <v>6.9999999999999993E-3</v>
      </c>
      <c r="AU103" s="730">
        <v>10</v>
      </c>
      <c r="AV103" s="731">
        <v>0.48599999999999999</v>
      </c>
      <c r="AW103" s="730">
        <v>4</v>
      </c>
      <c r="AX103" s="728">
        <v>0.44799999999999995</v>
      </c>
      <c r="AY103" s="730">
        <v>3</v>
      </c>
      <c r="AZ103" s="728">
        <v>0.13600000000000001</v>
      </c>
      <c r="BA103" s="730">
        <v>6</v>
      </c>
      <c r="BB103" s="733">
        <v>6.2E-2</v>
      </c>
      <c r="BC103" s="730">
        <v>2</v>
      </c>
      <c r="BD103" s="6"/>
    </row>
    <row r="104" spans="7:56" s="704" customFormat="1">
      <c r="G104" s="1546"/>
      <c r="W104" s="6"/>
      <c r="X104" s="829" t="s">
        <v>1725</v>
      </c>
      <c r="Y104" s="829"/>
      <c r="Z104" s="741">
        <v>23</v>
      </c>
      <c r="AA104" s="742">
        <v>7</v>
      </c>
      <c r="AB104" s="740" t="s">
        <v>1725</v>
      </c>
      <c r="AC104" s="742">
        <v>19</v>
      </c>
      <c r="AD104" s="742">
        <v>8</v>
      </c>
      <c r="AE104" s="770" t="s">
        <v>1062</v>
      </c>
      <c r="AF104" s="771" t="s">
        <v>1450</v>
      </c>
      <c r="AG104" s="742"/>
      <c r="AH104" s="454" t="s">
        <v>426</v>
      </c>
      <c r="AI104" s="455">
        <v>10</v>
      </c>
      <c r="AJ104" s="724">
        <v>6.4953271028037385E-2</v>
      </c>
      <c r="AK104" s="725">
        <v>18</v>
      </c>
      <c r="AL104" s="726">
        <v>38321</v>
      </c>
      <c r="AM104" s="725">
        <v>16</v>
      </c>
      <c r="AN104" s="727">
        <v>0.56200000000000006</v>
      </c>
      <c r="AO104" s="725">
        <v>16</v>
      </c>
      <c r="AP104" s="727">
        <v>0.08</v>
      </c>
      <c r="AQ104" s="725">
        <v>12</v>
      </c>
      <c r="AR104" s="728">
        <v>0.63100000000000001</v>
      </c>
      <c r="AS104" s="729">
        <v>7</v>
      </c>
      <c r="AT104" s="728">
        <v>0</v>
      </c>
      <c r="AU104" s="730">
        <v>10</v>
      </c>
      <c r="AV104" s="731">
        <v>0.38400000000000001</v>
      </c>
      <c r="AW104" s="730">
        <v>5</v>
      </c>
      <c r="AX104" s="728">
        <v>0.221</v>
      </c>
      <c r="AY104" s="730">
        <v>7</v>
      </c>
      <c r="AZ104" s="728">
        <v>8.5999999999999993E-2</v>
      </c>
      <c r="BA104" s="730">
        <v>8</v>
      </c>
      <c r="BB104" s="733">
        <v>0.11199999999999999</v>
      </c>
      <c r="BC104" s="730">
        <v>3</v>
      </c>
      <c r="BD104" s="6"/>
    </row>
    <row r="105" spans="7:56" s="704" customFormat="1">
      <c r="G105" s="1546"/>
      <c r="W105" s="6"/>
      <c r="X105" s="829" t="s">
        <v>1726</v>
      </c>
      <c r="Y105" s="829"/>
      <c r="Z105" s="741">
        <v>42</v>
      </c>
      <c r="AA105" s="742">
        <v>3</v>
      </c>
      <c r="AB105" s="740" t="s">
        <v>1726</v>
      </c>
      <c r="AC105" s="742">
        <v>41</v>
      </c>
      <c r="AD105" s="742">
        <v>3</v>
      </c>
      <c r="AE105" s="770" t="s">
        <v>1063</v>
      </c>
      <c r="AF105" s="771" t="s">
        <v>653</v>
      </c>
      <c r="AG105" s="742"/>
      <c r="AH105" s="454" t="s">
        <v>426</v>
      </c>
      <c r="AI105" s="455">
        <v>11</v>
      </c>
      <c r="AJ105" s="724">
        <v>6.4953271028037385E-2</v>
      </c>
      <c r="AK105" s="725">
        <v>18</v>
      </c>
      <c r="AL105" s="726">
        <v>38321</v>
      </c>
      <c r="AM105" s="725">
        <v>16</v>
      </c>
      <c r="AN105" s="727">
        <v>0.56200000000000006</v>
      </c>
      <c r="AO105" s="725">
        <v>16</v>
      </c>
      <c r="AP105" s="727">
        <v>0.08</v>
      </c>
      <c r="AQ105" s="725">
        <v>12</v>
      </c>
      <c r="AR105" s="728">
        <v>0.39299999999999996</v>
      </c>
      <c r="AS105" s="729">
        <v>5</v>
      </c>
      <c r="AT105" s="728">
        <v>1.1000000000000001E-2</v>
      </c>
      <c r="AU105" s="730">
        <v>9</v>
      </c>
      <c r="AV105" s="731">
        <v>0.33299999999999996</v>
      </c>
      <c r="AW105" s="730">
        <v>6</v>
      </c>
      <c r="AX105" s="728">
        <v>0.34</v>
      </c>
      <c r="AY105" s="730">
        <v>5</v>
      </c>
      <c r="AZ105" s="728">
        <v>7.2000000000000008E-2</v>
      </c>
      <c r="BA105" s="730">
        <v>8</v>
      </c>
      <c r="BB105" s="733">
        <v>8.5999999999999993E-2</v>
      </c>
      <c r="BC105" s="730">
        <v>3</v>
      </c>
      <c r="BD105" s="6"/>
    </row>
    <row r="106" spans="7:56" s="704" customFormat="1">
      <c r="G106" s="1546"/>
      <c r="W106" s="6"/>
      <c r="X106" s="829" t="s">
        <v>1727</v>
      </c>
      <c r="Y106" s="829"/>
      <c r="Z106" s="741">
        <v>15</v>
      </c>
      <c r="AA106" s="742">
        <v>10</v>
      </c>
      <c r="AB106" s="740" t="s">
        <v>1727</v>
      </c>
      <c r="AC106" s="742">
        <v>15</v>
      </c>
      <c r="AD106" s="742">
        <v>10</v>
      </c>
      <c r="AE106" s="770" t="s">
        <v>1064</v>
      </c>
      <c r="AF106" s="771" t="s">
        <v>653</v>
      </c>
      <c r="AG106" s="742"/>
      <c r="AH106" s="454" t="s">
        <v>426</v>
      </c>
      <c r="AI106" s="455">
        <v>12</v>
      </c>
      <c r="AJ106" s="724">
        <v>6.4953271028037385E-2</v>
      </c>
      <c r="AK106" s="725">
        <v>18</v>
      </c>
      <c r="AL106" s="726">
        <v>38321</v>
      </c>
      <c r="AM106" s="725">
        <v>16</v>
      </c>
      <c r="AN106" s="727">
        <v>0.56200000000000006</v>
      </c>
      <c r="AO106" s="725">
        <v>16</v>
      </c>
      <c r="AP106" s="727">
        <v>0.08</v>
      </c>
      <c r="AQ106" s="725">
        <v>12</v>
      </c>
      <c r="AR106" s="728">
        <v>0.71</v>
      </c>
      <c r="AS106" s="729">
        <v>8</v>
      </c>
      <c r="AT106" s="728">
        <v>0</v>
      </c>
      <c r="AU106" s="730">
        <v>10</v>
      </c>
      <c r="AV106" s="731">
        <v>0.111</v>
      </c>
      <c r="AW106" s="730">
        <v>9</v>
      </c>
      <c r="AX106" s="728">
        <v>0.17199999999999999</v>
      </c>
      <c r="AY106" s="730">
        <v>8</v>
      </c>
      <c r="AZ106" s="728">
        <v>6.9999999999999993E-3</v>
      </c>
      <c r="BA106" s="730">
        <v>10</v>
      </c>
      <c r="BB106" s="733">
        <v>0.192</v>
      </c>
      <c r="BC106" s="730">
        <v>5</v>
      </c>
      <c r="BD106" s="6"/>
    </row>
    <row r="107" spans="7:56" s="704" customFormat="1">
      <c r="G107" s="1546"/>
      <c r="W107" s="6"/>
      <c r="X107" s="829" t="s">
        <v>1728</v>
      </c>
      <c r="Y107" s="829"/>
      <c r="Z107" s="741">
        <v>49</v>
      </c>
      <c r="AA107" s="742">
        <v>2</v>
      </c>
      <c r="AB107" s="740" t="s">
        <v>1728</v>
      </c>
      <c r="AC107" s="742">
        <v>49</v>
      </c>
      <c r="AD107" s="742">
        <v>2</v>
      </c>
      <c r="AE107" s="770" t="s">
        <v>1065</v>
      </c>
      <c r="AF107" s="771" t="s">
        <v>653</v>
      </c>
      <c r="AG107" s="742"/>
      <c r="AH107" s="454" t="s">
        <v>426</v>
      </c>
      <c r="AI107" s="455">
        <v>13</v>
      </c>
      <c r="AJ107" s="724">
        <v>6.4953271028037385E-2</v>
      </c>
      <c r="AK107" s="725">
        <v>18</v>
      </c>
      <c r="AL107" s="726">
        <v>38321</v>
      </c>
      <c r="AM107" s="725">
        <v>16</v>
      </c>
      <c r="AN107" s="727">
        <v>0.56200000000000006</v>
      </c>
      <c r="AO107" s="725">
        <v>16</v>
      </c>
      <c r="AP107" s="727">
        <v>0.08</v>
      </c>
      <c r="AQ107" s="725">
        <v>12</v>
      </c>
      <c r="AR107" s="728">
        <v>0.34499999999999997</v>
      </c>
      <c r="AS107" s="729">
        <v>4</v>
      </c>
      <c r="AT107" s="728">
        <v>0</v>
      </c>
      <c r="AU107" s="730">
        <v>10</v>
      </c>
      <c r="AV107" s="731">
        <v>0.29699999999999999</v>
      </c>
      <c r="AW107" s="730">
        <v>7</v>
      </c>
      <c r="AX107" s="728">
        <v>0.14800000000000002</v>
      </c>
      <c r="AY107" s="730">
        <v>8</v>
      </c>
      <c r="AZ107" s="728">
        <v>5.2999999999999999E-2</v>
      </c>
      <c r="BA107" s="730">
        <v>9</v>
      </c>
      <c r="BB107" s="733">
        <v>0.25600000000000001</v>
      </c>
      <c r="BC107" s="730">
        <v>7</v>
      </c>
      <c r="BD107" s="6"/>
    </row>
    <row r="108" spans="7:56" s="704" customFormat="1">
      <c r="G108" s="1546"/>
      <c r="W108" s="6"/>
      <c r="X108" s="829" t="s">
        <v>1729</v>
      </c>
      <c r="Y108" s="829"/>
      <c r="Z108" s="741">
        <v>34</v>
      </c>
      <c r="AA108" s="742">
        <v>5</v>
      </c>
      <c r="AB108" s="740" t="s">
        <v>1729</v>
      </c>
      <c r="AC108" s="742">
        <v>31</v>
      </c>
      <c r="AD108" s="742">
        <v>5</v>
      </c>
      <c r="AE108" s="770" t="s">
        <v>1066</v>
      </c>
      <c r="AF108" s="771" t="s">
        <v>653</v>
      </c>
      <c r="AG108" s="742"/>
      <c r="AH108" s="454" t="s">
        <v>426</v>
      </c>
      <c r="AI108" s="455">
        <v>14</v>
      </c>
      <c r="AJ108" s="724">
        <v>6.4953271028037385E-2</v>
      </c>
      <c r="AK108" s="725">
        <v>18</v>
      </c>
      <c r="AL108" s="726">
        <v>38321</v>
      </c>
      <c r="AM108" s="725">
        <v>16</v>
      </c>
      <c r="AN108" s="727">
        <v>0.56200000000000006</v>
      </c>
      <c r="AO108" s="725">
        <v>16</v>
      </c>
      <c r="AP108" s="727">
        <v>0.08</v>
      </c>
      <c r="AQ108" s="725">
        <v>12</v>
      </c>
      <c r="AR108" s="728">
        <v>0.41200000000000003</v>
      </c>
      <c r="AS108" s="729">
        <v>5</v>
      </c>
      <c r="AT108" s="728">
        <v>6.9999999999999993E-3</v>
      </c>
      <c r="AU108" s="730">
        <v>10</v>
      </c>
      <c r="AV108" s="731">
        <v>0.32100000000000001</v>
      </c>
      <c r="AW108" s="730">
        <v>6</v>
      </c>
      <c r="AX108" s="728">
        <v>0.155</v>
      </c>
      <c r="AY108" s="730">
        <v>8</v>
      </c>
      <c r="AZ108" s="728">
        <v>3.5000000000000003E-2</v>
      </c>
      <c r="BA108" s="730">
        <v>9</v>
      </c>
      <c r="BB108" s="733">
        <v>0.21299999999999999</v>
      </c>
      <c r="BC108" s="730">
        <v>6</v>
      </c>
      <c r="BD108" s="6"/>
    </row>
    <row r="109" spans="7:56" s="704" customFormat="1">
      <c r="G109" s="1546"/>
      <c r="W109" s="6"/>
      <c r="X109" s="829" t="s">
        <v>1730</v>
      </c>
      <c r="Y109" s="829"/>
      <c r="Z109" s="741">
        <v>30</v>
      </c>
      <c r="AA109" s="742">
        <v>6</v>
      </c>
      <c r="AB109" s="740" t="s">
        <v>1730</v>
      </c>
      <c r="AC109" s="742">
        <v>32</v>
      </c>
      <c r="AD109" s="742">
        <v>5</v>
      </c>
      <c r="AE109" s="770" t="s">
        <v>1067</v>
      </c>
      <c r="AF109" s="771" t="s">
        <v>653</v>
      </c>
      <c r="AG109" s="742"/>
      <c r="AH109" s="454" t="s">
        <v>426</v>
      </c>
      <c r="AI109" s="455">
        <v>15</v>
      </c>
      <c r="AJ109" s="724">
        <v>6.4953271028037385E-2</v>
      </c>
      <c r="AK109" s="725">
        <v>18</v>
      </c>
      <c r="AL109" s="726">
        <v>38321</v>
      </c>
      <c r="AM109" s="725">
        <v>16</v>
      </c>
      <c r="AN109" s="727">
        <v>0.56200000000000006</v>
      </c>
      <c r="AO109" s="725">
        <v>16</v>
      </c>
      <c r="AP109" s="727">
        <v>0.08</v>
      </c>
      <c r="AQ109" s="725">
        <v>12</v>
      </c>
      <c r="AR109" s="728">
        <v>0.48399999999999999</v>
      </c>
      <c r="AS109" s="729">
        <v>6</v>
      </c>
      <c r="AT109" s="728">
        <v>0</v>
      </c>
      <c r="AU109" s="730">
        <v>10</v>
      </c>
      <c r="AV109" s="731">
        <v>0.34299999999999997</v>
      </c>
      <c r="AW109" s="730">
        <v>6</v>
      </c>
      <c r="AX109" s="728">
        <v>0.31</v>
      </c>
      <c r="AY109" s="730">
        <v>5</v>
      </c>
      <c r="AZ109" s="728">
        <v>0.09</v>
      </c>
      <c r="BA109" s="730">
        <v>7</v>
      </c>
      <c r="BB109" s="733">
        <v>0.11800000000000001</v>
      </c>
      <c r="BC109" s="730">
        <v>4</v>
      </c>
      <c r="BD109" s="6"/>
    </row>
    <row r="110" spans="7:56" s="704" customFormat="1">
      <c r="G110" s="1546"/>
      <c r="W110" s="6"/>
      <c r="X110" s="829" t="s">
        <v>1731</v>
      </c>
      <c r="Y110" s="829"/>
      <c r="Z110" s="741">
        <v>4</v>
      </c>
      <c r="AA110" s="742">
        <v>20</v>
      </c>
      <c r="AB110" s="740" t="s">
        <v>1731</v>
      </c>
      <c r="AC110" s="742">
        <v>3</v>
      </c>
      <c r="AD110" s="742">
        <v>20</v>
      </c>
      <c r="AE110" s="770" t="s">
        <v>1068</v>
      </c>
      <c r="AF110" s="771" t="s">
        <v>1450</v>
      </c>
      <c r="AG110" s="742"/>
      <c r="AH110" s="454" t="s">
        <v>426</v>
      </c>
      <c r="AI110" s="455">
        <v>16</v>
      </c>
      <c r="AJ110" s="724">
        <v>6.4953271028037385E-2</v>
      </c>
      <c r="AK110" s="725">
        <v>18</v>
      </c>
      <c r="AL110" s="726">
        <v>38321</v>
      </c>
      <c r="AM110" s="725">
        <v>16</v>
      </c>
      <c r="AN110" s="727">
        <v>0.56200000000000006</v>
      </c>
      <c r="AO110" s="725">
        <v>16</v>
      </c>
      <c r="AP110" s="727">
        <v>0.08</v>
      </c>
      <c r="AQ110" s="725">
        <v>12</v>
      </c>
      <c r="AR110" s="728">
        <v>0.47499999999999998</v>
      </c>
      <c r="AS110" s="729">
        <v>5</v>
      </c>
      <c r="AT110" s="728">
        <v>2.7999999999999997E-2</v>
      </c>
      <c r="AU110" s="730">
        <v>8</v>
      </c>
      <c r="AV110" s="731">
        <v>0.436</v>
      </c>
      <c r="AW110" s="730">
        <v>5</v>
      </c>
      <c r="AX110" s="728">
        <v>0.36799999999999999</v>
      </c>
      <c r="AY110" s="730">
        <v>4</v>
      </c>
      <c r="AZ110" s="728">
        <v>0.17100000000000001</v>
      </c>
      <c r="BA110" s="730">
        <v>5</v>
      </c>
      <c r="BB110" s="733">
        <v>7.5999999999999998E-2</v>
      </c>
      <c r="BC110" s="730">
        <v>2</v>
      </c>
      <c r="BD110" s="6"/>
    </row>
    <row r="111" spans="7:56" s="704" customFormat="1">
      <c r="G111" s="1546"/>
      <c r="W111" s="6"/>
      <c r="X111" s="829" t="s">
        <v>1732</v>
      </c>
      <c r="Y111" s="829"/>
      <c r="Z111" s="741">
        <v>46</v>
      </c>
      <c r="AA111" s="742">
        <v>2</v>
      </c>
      <c r="AB111" s="740" t="s">
        <v>1732</v>
      </c>
      <c r="AC111" s="742">
        <v>52</v>
      </c>
      <c r="AD111" s="742">
        <v>1</v>
      </c>
      <c r="AE111" s="770" t="s">
        <v>1069</v>
      </c>
      <c r="AF111" s="771" t="s">
        <v>653</v>
      </c>
      <c r="AG111" s="742"/>
      <c r="AH111" s="454" t="s">
        <v>426</v>
      </c>
      <c r="AI111" s="455">
        <v>18</v>
      </c>
      <c r="AJ111" s="724">
        <v>6.4953271028037385E-2</v>
      </c>
      <c r="AK111" s="725">
        <v>18</v>
      </c>
      <c r="AL111" s="726">
        <v>38321</v>
      </c>
      <c r="AM111" s="725">
        <v>16</v>
      </c>
      <c r="AN111" s="727">
        <v>0.56200000000000006</v>
      </c>
      <c r="AO111" s="725">
        <v>16</v>
      </c>
      <c r="AP111" s="727">
        <v>0.08</v>
      </c>
      <c r="AQ111" s="725">
        <v>12</v>
      </c>
      <c r="AR111" s="728">
        <v>0.44299999999999995</v>
      </c>
      <c r="AS111" s="729">
        <v>5</v>
      </c>
      <c r="AT111" s="728">
        <v>5.0999999999999997E-2</v>
      </c>
      <c r="AU111" s="730">
        <v>6</v>
      </c>
      <c r="AV111" s="731">
        <v>0.51300000000000001</v>
      </c>
      <c r="AW111" s="730">
        <v>4</v>
      </c>
      <c r="AX111" s="728">
        <v>0.42599999999999999</v>
      </c>
      <c r="AY111" s="730">
        <v>3</v>
      </c>
      <c r="AZ111" s="728">
        <v>0.13699999999999998</v>
      </c>
      <c r="BA111" s="730">
        <v>6</v>
      </c>
      <c r="BB111" s="733">
        <v>8.4000000000000005E-2</v>
      </c>
      <c r="BC111" s="730">
        <v>3</v>
      </c>
      <c r="BD111" s="6"/>
    </row>
    <row r="112" spans="7:56" s="704" customFormat="1">
      <c r="G112" s="1546"/>
      <c r="W112" s="6"/>
      <c r="X112" s="829" t="s">
        <v>1733</v>
      </c>
      <c r="Y112" s="829"/>
      <c r="Z112" s="741">
        <v>16</v>
      </c>
      <c r="AA112" s="742">
        <v>8</v>
      </c>
      <c r="AB112" s="740" t="s">
        <v>1733</v>
      </c>
      <c r="AC112" s="742">
        <v>17</v>
      </c>
      <c r="AD112" s="742">
        <v>8</v>
      </c>
      <c r="AE112" s="770" t="s">
        <v>1070</v>
      </c>
      <c r="AF112" s="771" t="s">
        <v>653</v>
      </c>
      <c r="AG112" s="742"/>
      <c r="AH112" s="454" t="s">
        <v>426</v>
      </c>
      <c r="AI112" s="455">
        <v>19</v>
      </c>
      <c r="AJ112" s="724">
        <v>6.4953271028037385E-2</v>
      </c>
      <c r="AK112" s="725">
        <v>18</v>
      </c>
      <c r="AL112" s="726">
        <v>38321</v>
      </c>
      <c r="AM112" s="725">
        <v>16</v>
      </c>
      <c r="AN112" s="727">
        <v>0.56200000000000006</v>
      </c>
      <c r="AO112" s="725">
        <v>16</v>
      </c>
      <c r="AP112" s="727">
        <v>0.08</v>
      </c>
      <c r="AQ112" s="725">
        <v>12</v>
      </c>
      <c r="AR112" s="728">
        <v>0.84900000000000009</v>
      </c>
      <c r="AS112" s="729">
        <v>9</v>
      </c>
      <c r="AT112" s="728">
        <v>0</v>
      </c>
      <c r="AU112" s="730">
        <v>10</v>
      </c>
      <c r="AV112" s="731">
        <v>0.14199999999999999</v>
      </c>
      <c r="AW112" s="730">
        <v>9</v>
      </c>
      <c r="AX112" s="728">
        <v>7.9000000000000001E-2</v>
      </c>
      <c r="AY112" s="730">
        <v>9</v>
      </c>
      <c r="AZ112" s="728">
        <v>7.6999999999999999E-2</v>
      </c>
      <c r="BA112" s="730">
        <v>8</v>
      </c>
      <c r="BB112" s="733">
        <v>0.23800000000000002</v>
      </c>
      <c r="BC112" s="730">
        <v>7</v>
      </c>
      <c r="BD112" s="6"/>
    </row>
    <row r="113" spans="7:56" s="704" customFormat="1">
      <c r="G113" s="1546"/>
      <c r="W113" s="6"/>
      <c r="X113" s="829" t="s">
        <v>1734</v>
      </c>
      <c r="Y113" s="829"/>
      <c r="Z113" s="741">
        <v>46</v>
      </c>
      <c r="AA113" s="742">
        <v>2</v>
      </c>
      <c r="AB113" s="740" t="s">
        <v>1734</v>
      </c>
      <c r="AC113" s="742">
        <v>41</v>
      </c>
      <c r="AD113" s="742">
        <v>3</v>
      </c>
      <c r="AE113" s="770" t="s">
        <v>1071</v>
      </c>
      <c r="AF113" s="771" t="s">
        <v>652</v>
      </c>
      <c r="AG113" s="742"/>
      <c r="AH113" s="454" t="s">
        <v>426</v>
      </c>
      <c r="AI113" s="455">
        <v>20</v>
      </c>
      <c r="AJ113" s="724">
        <v>6.4953271028037385E-2</v>
      </c>
      <c r="AK113" s="725">
        <v>18</v>
      </c>
      <c r="AL113" s="726">
        <v>38321</v>
      </c>
      <c r="AM113" s="725">
        <v>16</v>
      </c>
      <c r="AN113" s="727">
        <v>0.56200000000000006</v>
      </c>
      <c r="AO113" s="725">
        <v>16</v>
      </c>
      <c r="AP113" s="727">
        <v>0.08</v>
      </c>
      <c r="AQ113" s="725">
        <v>12</v>
      </c>
      <c r="AR113" s="728">
        <v>0.92099999999999993</v>
      </c>
      <c r="AS113" s="729">
        <v>10</v>
      </c>
      <c r="AT113" s="728">
        <v>0</v>
      </c>
      <c r="AU113" s="730">
        <v>10</v>
      </c>
      <c r="AV113" s="731">
        <v>0.06</v>
      </c>
      <c r="AW113" s="730">
        <v>10</v>
      </c>
      <c r="AX113" s="728">
        <v>2.6000000000000002E-2</v>
      </c>
      <c r="AY113" s="730">
        <v>10</v>
      </c>
      <c r="AZ113" s="728">
        <v>1.3999999999999999E-2</v>
      </c>
      <c r="BA113" s="730">
        <v>10</v>
      </c>
      <c r="BB113" s="733">
        <v>0.20899999999999999</v>
      </c>
      <c r="BC113" s="730">
        <v>6</v>
      </c>
      <c r="BD113" s="6"/>
    </row>
    <row r="114" spans="7:56" s="704" customFormat="1">
      <c r="G114" s="1546"/>
      <c r="W114" s="6"/>
      <c r="X114" s="829" t="s">
        <v>1735</v>
      </c>
      <c r="Y114" s="829"/>
      <c r="Z114" s="741">
        <v>11</v>
      </c>
      <c r="AA114" s="742">
        <v>10</v>
      </c>
      <c r="AB114" s="740" t="s">
        <v>1735</v>
      </c>
      <c r="AC114" s="742">
        <v>11</v>
      </c>
      <c r="AD114" s="742">
        <v>10</v>
      </c>
      <c r="AE114" s="770" t="s">
        <v>1072</v>
      </c>
      <c r="AF114" s="771" t="s">
        <v>653</v>
      </c>
      <c r="AG114" s="742"/>
      <c r="AH114" s="454" t="s">
        <v>426</v>
      </c>
      <c r="AI114" s="455">
        <v>21</v>
      </c>
      <c r="AJ114" s="724">
        <v>6.4953271028037385E-2</v>
      </c>
      <c r="AK114" s="725">
        <v>18</v>
      </c>
      <c r="AL114" s="726">
        <v>38321</v>
      </c>
      <c r="AM114" s="725">
        <v>16</v>
      </c>
      <c r="AN114" s="727">
        <v>0.56200000000000006</v>
      </c>
      <c r="AO114" s="725">
        <v>16</v>
      </c>
      <c r="AP114" s="727">
        <v>0.08</v>
      </c>
      <c r="AQ114" s="725">
        <v>12</v>
      </c>
      <c r="AR114" s="728">
        <v>0.76300000000000001</v>
      </c>
      <c r="AS114" s="729">
        <v>9</v>
      </c>
      <c r="AT114" s="728">
        <v>0</v>
      </c>
      <c r="AU114" s="730">
        <v>10</v>
      </c>
      <c r="AV114" s="731">
        <v>0.16899999999999998</v>
      </c>
      <c r="AW114" s="730">
        <v>8</v>
      </c>
      <c r="AX114" s="728">
        <v>7.9000000000000001E-2</v>
      </c>
      <c r="AY114" s="730">
        <v>9</v>
      </c>
      <c r="AZ114" s="728">
        <v>6.2E-2</v>
      </c>
      <c r="BA114" s="730">
        <v>8</v>
      </c>
      <c r="BB114" s="733">
        <v>0.23300000000000001</v>
      </c>
      <c r="BC114" s="730">
        <v>7</v>
      </c>
      <c r="BD114" s="6"/>
    </row>
    <row r="115" spans="7:56" s="704" customFormat="1">
      <c r="G115" s="1546"/>
      <c r="W115" s="6"/>
      <c r="X115" s="829" t="s">
        <v>1736</v>
      </c>
      <c r="Y115" s="829"/>
      <c r="Z115" s="741">
        <v>52</v>
      </c>
      <c r="AA115" s="742">
        <v>1</v>
      </c>
      <c r="AB115" s="740" t="s">
        <v>1736</v>
      </c>
      <c r="AC115" s="742">
        <v>49</v>
      </c>
      <c r="AD115" s="742">
        <v>2</v>
      </c>
      <c r="AE115" s="770" t="s">
        <v>1073</v>
      </c>
      <c r="AF115" s="771" t="s">
        <v>1450</v>
      </c>
      <c r="AG115" s="742"/>
      <c r="AH115" s="454" t="s">
        <v>426</v>
      </c>
      <c r="AI115" s="455">
        <v>101.02</v>
      </c>
      <c r="AJ115" s="724">
        <v>6.4953271028037385E-2</v>
      </c>
      <c r="AK115" s="725">
        <v>18</v>
      </c>
      <c r="AL115" s="726">
        <v>38321</v>
      </c>
      <c r="AM115" s="725">
        <v>16</v>
      </c>
      <c r="AN115" s="727">
        <v>0.56200000000000006</v>
      </c>
      <c r="AO115" s="725">
        <v>16</v>
      </c>
      <c r="AP115" s="727">
        <v>0.08</v>
      </c>
      <c r="AQ115" s="725">
        <v>12</v>
      </c>
      <c r="AR115" s="728">
        <v>0.82400000000000007</v>
      </c>
      <c r="AS115" s="729">
        <v>9</v>
      </c>
      <c r="AT115" s="728">
        <v>8.0000000000000002E-3</v>
      </c>
      <c r="AU115" s="730">
        <v>10</v>
      </c>
      <c r="AV115" s="731">
        <v>0.11699999999999999</v>
      </c>
      <c r="AW115" s="730">
        <v>9</v>
      </c>
      <c r="AX115" s="728">
        <v>8.4000000000000005E-2</v>
      </c>
      <c r="AY115" s="730">
        <v>9</v>
      </c>
      <c r="AZ115" s="728">
        <v>1.2E-2</v>
      </c>
      <c r="BA115" s="730">
        <v>10</v>
      </c>
      <c r="BB115" s="733">
        <v>0.13600000000000001</v>
      </c>
      <c r="BC115" s="730">
        <v>4</v>
      </c>
      <c r="BD115" s="6"/>
    </row>
    <row r="116" spans="7:56" s="704" customFormat="1" ht="15">
      <c r="G116" s="1546"/>
      <c r="W116" s="6"/>
      <c r="X116" s="87"/>
      <c r="Y116" s="87"/>
      <c r="Z116" s="739"/>
      <c r="AA116" s="739"/>
      <c r="AB116" s="743"/>
      <c r="AC116" s="108"/>
      <c r="AD116" s="108"/>
      <c r="AE116" s="770" t="s">
        <v>1074</v>
      </c>
      <c r="AF116" s="771" t="s">
        <v>1450</v>
      </c>
      <c r="AG116" s="108"/>
      <c r="AH116" s="454" t="s">
        <v>426</v>
      </c>
      <c r="AI116" s="455">
        <v>102.01</v>
      </c>
      <c r="AJ116" s="724">
        <v>6.4953271028037385E-2</v>
      </c>
      <c r="AK116" s="725">
        <v>18</v>
      </c>
      <c r="AL116" s="726">
        <v>38321</v>
      </c>
      <c r="AM116" s="725">
        <v>16</v>
      </c>
      <c r="AN116" s="727">
        <v>0.56200000000000006</v>
      </c>
      <c r="AO116" s="725">
        <v>16</v>
      </c>
      <c r="AP116" s="727">
        <v>0.08</v>
      </c>
      <c r="AQ116" s="725">
        <v>12</v>
      </c>
      <c r="AR116" s="728">
        <v>0.57200000000000006</v>
      </c>
      <c r="AS116" s="729">
        <v>6</v>
      </c>
      <c r="AT116" s="728">
        <v>0</v>
      </c>
      <c r="AU116" s="730">
        <v>10</v>
      </c>
      <c r="AV116" s="731">
        <v>0.18100000000000002</v>
      </c>
      <c r="AW116" s="730">
        <v>8</v>
      </c>
      <c r="AX116" s="728">
        <v>0.125</v>
      </c>
      <c r="AY116" s="730">
        <v>8</v>
      </c>
      <c r="AZ116" s="728">
        <v>5.0999999999999997E-2</v>
      </c>
      <c r="BA116" s="730">
        <v>9</v>
      </c>
      <c r="BB116" s="733">
        <v>0.16899999999999998</v>
      </c>
      <c r="BC116" s="730">
        <v>5</v>
      </c>
      <c r="BD116" s="6"/>
    </row>
    <row r="117" spans="7:56" s="704" customFormat="1" ht="15">
      <c r="G117" s="1546"/>
      <c r="W117" s="6"/>
      <c r="X117" s="87"/>
      <c r="Y117" s="87"/>
      <c r="Z117" s="739"/>
      <c r="AA117" s="739"/>
      <c r="AB117" s="743"/>
      <c r="AC117" s="108"/>
      <c r="AD117" s="108"/>
      <c r="AE117" s="770" t="s">
        <v>2770</v>
      </c>
      <c r="AF117" s="771" t="s">
        <v>653</v>
      </c>
      <c r="AG117" s="108"/>
      <c r="AH117" s="454" t="s">
        <v>426</v>
      </c>
      <c r="AI117" s="455">
        <v>102.02</v>
      </c>
      <c r="AJ117" s="724">
        <v>6.4953271028037385E-2</v>
      </c>
      <c r="AK117" s="725">
        <v>18</v>
      </c>
      <c r="AL117" s="726">
        <v>38321</v>
      </c>
      <c r="AM117" s="725">
        <v>16</v>
      </c>
      <c r="AN117" s="727">
        <v>0.56200000000000006</v>
      </c>
      <c r="AO117" s="725">
        <v>16</v>
      </c>
      <c r="AP117" s="727">
        <v>0.08</v>
      </c>
      <c r="AQ117" s="725">
        <v>12</v>
      </c>
      <c r="AR117" s="728">
        <v>0.71099999999999997</v>
      </c>
      <c r="AS117" s="729">
        <v>8</v>
      </c>
      <c r="AT117" s="728">
        <v>5.0000000000000001E-3</v>
      </c>
      <c r="AU117" s="730">
        <v>10</v>
      </c>
      <c r="AV117" s="731">
        <v>9.5000000000000001E-2</v>
      </c>
      <c r="AW117" s="730">
        <v>9</v>
      </c>
      <c r="AX117" s="728">
        <v>7.5999999999999998E-2</v>
      </c>
      <c r="AY117" s="730">
        <v>9</v>
      </c>
      <c r="AZ117" s="728">
        <v>1.1000000000000001E-2</v>
      </c>
      <c r="BA117" s="730">
        <v>10</v>
      </c>
      <c r="BB117" s="733">
        <v>0.29100000000000004</v>
      </c>
      <c r="BC117" s="730">
        <v>8</v>
      </c>
      <c r="BD117" s="6"/>
    </row>
    <row r="118" spans="7:56" s="704" customFormat="1" ht="15">
      <c r="G118" s="1546"/>
      <c r="W118" s="6"/>
      <c r="X118" s="87"/>
      <c r="Y118" s="87"/>
      <c r="Z118" s="739"/>
      <c r="AA118" s="739"/>
      <c r="AB118" s="743"/>
      <c r="AC118" s="108"/>
      <c r="AD118" s="108"/>
      <c r="AE118" s="770" t="s">
        <v>2771</v>
      </c>
      <c r="AF118" s="771" t="s">
        <v>653</v>
      </c>
      <c r="AG118" s="108"/>
      <c r="AH118" s="454" t="s">
        <v>426</v>
      </c>
      <c r="AI118" s="455">
        <v>103</v>
      </c>
      <c r="AJ118" s="724">
        <v>6.4953271028037385E-2</v>
      </c>
      <c r="AK118" s="725">
        <v>18</v>
      </c>
      <c r="AL118" s="726">
        <v>38321</v>
      </c>
      <c r="AM118" s="725">
        <v>16</v>
      </c>
      <c r="AN118" s="727">
        <v>0.56200000000000006</v>
      </c>
      <c r="AO118" s="725">
        <v>16</v>
      </c>
      <c r="AP118" s="727">
        <v>0.08</v>
      </c>
      <c r="AQ118" s="725">
        <v>12</v>
      </c>
      <c r="AR118" s="728">
        <v>0.78200000000000003</v>
      </c>
      <c r="AS118" s="729">
        <v>9</v>
      </c>
      <c r="AT118" s="728">
        <v>0</v>
      </c>
      <c r="AU118" s="730">
        <v>10</v>
      </c>
      <c r="AV118" s="731">
        <v>0.13699999999999998</v>
      </c>
      <c r="AW118" s="730">
        <v>9</v>
      </c>
      <c r="AX118" s="728">
        <v>8.900000000000001E-2</v>
      </c>
      <c r="AY118" s="730">
        <v>9</v>
      </c>
      <c r="AZ118" s="728">
        <v>3.2000000000000001E-2</v>
      </c>
      <c r="BA118" s="730">
        <v>9</v>
      </c>
      <c r="BB118" s="733">
        <v>0.13300000000000001</v>
      </c>
      <c r="BC118" s="730">
        <v>4</v>
      </c>
      <c r="BD118" s="6"/>
    </row>
    <row r="119" spans="7:56" s="704" customFormat="1" ht="15">
      <c r="G119" s="1546"/>
      <c r="W119" s="6"/>
      <c r="X119" s="87"/>
      <c r="Y119" s="87"/>
      <c r="Z119" s="739"/>
      <c r="AA119" s="739"/>
      <c r="AB119" s="743"/>
      <c r="AC119" s="108"/>
      <c r="AD119" s="108"/>
      <c r="AE119" s="770" t="s">
        <v>2772</v>
      </c>
      <c r="AF119" s="771" t="s">
        <v>1450</v>
      </c>
      <c r="AG119" s="108"/>
      <c r="AH119" s="454" t="s">
        <v>426</v>
      </c>
      <c r="AI119" s="455">
        <v>104</v>
      </c>
      <c r="AJ119" s="724">
        <v>6.4953271028037385E-2</v>
      </c>
      <c r="AK119" s="725">
        <v>18</v>
      </c>
      <c r="AL119" s="726">
        <v>38321</v>
      </c>
      <c r="AM119" s="725">
        <v>16</v>
      </c>
      <c r="AN119" s="727">
        <v>0.56200000000000006</v>
      </c>
      <c r="AO119" s="725">
        <v>16</v>
      </c>
      <c r="AP119" s="727">
        <v>0.08</v>
      </c>
      <c r="AQ119" s="725">
        <v>12</v>
      </c>
      <c r="AR119" s="728">
        <v>0.56000000000000005</v>
      </c>
      <c r="AS119" s="729">
        <v>6</v>
      </c>
      <c r="AT119" s="728">
        <v>2.2000000000000002E-2</v>
      </c>
      <c r="AU119" s="730">
        <v>8</v>
      </c>
      <c r="AV119" s="731">
        <v>0.10300000000000001</v>
      </c>
      <c r="AW119" s="730">
        <v>9</v>
      </c>
      <c r="AX119" s="728">
        <v>9.8000000000000004E-2</v>
      </c>
      <c r="AY119" s="730">
        <v>9</v>
      </c>
      <c r="AZ119" s="728">
        <v>2.7999999999999997E-2</v>
      </c>
      <c r="BA119" s="730">
        <v>10</v>
      </c>
      <c r="BB119" s="733">
        <v>0.14699999999999999</v>
      </c>
      <c r="BC119" s="730">
        <v>4</v>
      </c>
      <c r="BD119" s="6"/>
    </row>
    <row r="120" spans="7:56" s="704" customFormat="1" ht="15">
      <c r="G120" s="1546"/>
      <c r="W120" s="6"/>
      <c r="X120" s="87"/>
      <c r="Y120" s="87"/>
      <c r="Z120" s="739"/>
      <c r="AA120" s="739"/>
      <c r="AB120" s="743"/>
      <c r="AC120" s="108"/>
      <c r="AD120" s="108"/>
      <c r="AE120" s="770" t="s">
        <v>2773</v>
      </c>
      <c r="AF120" s="771" t="s">
        <v>652</v>
      </c>
      <c r="AG120" s="108"/>
      <c r="AH120" s="454" t="s">
        <v>426</v>
      </c>
      <c r="AI120" s="455">
        <v>105</v>
      </c>
      <c r="AJ120" s="724">
        <v>6.4953271028037385E-2</v>
      </c>
      <c r="AK120" s="725">
        <v>18</v>
      </c>
      <c r="AL120" s="726">
        <v>38321</v>
      </c>
      <c r="AM120" s="725">
        <v>16</v>
      </c>
      <c r="AN120" s="727">
        <v>0.56200000000000006</v>
      </c>
      <c r="AO120" s="725">
        <v>16</v>
      </c>
      <c r="AP120" s="727">
        <v>0.08</v>
      </c>
      <c r="AQ120" s="725">
        <v>12</v>
      </c>
      <c r="AR120" s="728">
        <v>0.92900000000000005</v>
      </c>
      <c r="AS120" s="729">
        <v>10</v>
      </c>
      <c r="AT120" s="728">
        <v>9.0000000000000011E-3</v>
      </c>
      <c r="AU120" s="730">
        <v>10</v>
      </c>
      <c r="AV120" s="731">
        <v>7.400000000000001E-2</v>
      </c>
      <c r="AW120" s="730">
        <v>10</v>
      </c>
      <c r="AX120" s="728">
        <v>5.2999999999999999E-2</v>
      </c>
      <c r="AY120" s="730">
        <v>10</v>
      </c>
      <c r="AZ120" s="728">
        <v>3.9E-2</v>
      </c>
      <c r="BA120" s="730">
        <v>9</v>
      </c>
      <c r="BB120" s="733">
        <v>9.5000000000000001E-2</v>
      </c>
      <c r="BC120" s="730">
        <v>3</v>
      </c>
      <c r="BD120" s="6"/>
    </row>
    <row r="121" spans="7:56" s="704" customFormat="1" ht="15">
      <c r="G121" s="1546"/>
      <c r="W121" s="6"/>
      <c r="X121" s="87"/>
      <c r="Y121" s="87"/>
      <c r="Z121" s="739"/>
      <c r="AA121" s="739"/>
      <c r="AB121" s="743"/>
      <c r="AC121" s="108"/>
      <c r="AD121" s="108"/>
      <c r="AE121" s="770" t="s">
        <v>2774</v>
      </c>
      <c r="AF121" s="771" t="s">
        <v>653</v>
      </c>
      <c r="AG121" s="108"/>
      <c r="AH121" s="454" t="s">
        <v>426</v>
      </c>
      <c r="AI121" s="455">
        <v>106</v>
      </c>
      <c r="AJ121" s="724">
        <v>6.4953271028037385E-2</v>
      </c>
      <c r="AK121" s="725">
        <v>18</v>
      </c>
      <c r="AL121" s="726">
        <v>38321</v>
      </c>
      <c r="AM121" s="725">
        <v>16</v>
      </c>
      <c r="AN121" s="727">
        <v>0.56200000000000006</v>
      </c>
      <c r="AO121" s="725">
        <v>16</v>
      </c>
      <c r="AP121" s="727">
        <v>0.08</v>
      </c>
      <c r="AQ121" s="725">
        <v>12</v>
      </c>
      <c r="AR121" s="728">
        <v>0.77099999999999991</v>
      </c>
      <c r="AS121" s="729">
        <v>9</v>
      </c>
      <c r="AT121" s="728">
        <v>1.1000000000000001E-2</v>
      </c>
      <c r="AU121" s="730">
        <v>9</v>
      </c>
      <c r="AV121" s="731">
        <v>0.128</v>
      </c>
      <c r="AW121" s="730">
        <v>9</v>
      </c>
      <c r="AX121" s="728">
        <v>0.182</v>
      </c>
      <c r="AY121" s="730">
        <v>7</v>
      </c>
      <c r="AZ121" s="728">
        <v>4.8000000000000001E-2</v>
      </c>
      <c r="BA121" s="730">
        <v>9</v>
      </c>
      <c r="BB121" s="733">
        <v>8.8000000000000009E-2</v>
      </c>
      <c r="BC121" s="730">
        <v>3</v>
      </c>
      <c r="BD121" s="6"/>
    </row>
    <row r="122" spans="7:56" s="704" customFormat="1" ht="15">
      <c r="G122" s="1546"/>
      <c r="W122" s="6"/>
      <c r="X122" s="87"/>
      <c r="Y122" s="87"/>
      <c r="Z122" s="739"/>
      <c r="AA122" s="739"/>
      <c r="AB122" s="743"/>
      <c r="AC122" s="108"/>
      <c r="AD122" s="108"/>
      <c r="AE122" s="770" t="s">
        <v>1075</v>
      </c>
      <c r="AF122" s="771" t="s">
        <v>653</v>
      </c>
      <c r="AG122" s="108"/>
      <c r="AH122" s="454" t="s">
        <v>426</v>
      </c>
      <c r="AI122" s="455">
        <v>107</v>
      </c>
      <c r="AJ122" s="724">
        <v>6.4953271028037385E-2</v>
      </c>
      <c r="AK122" s="725">
        <v>18</v>
      </c>
      <c r="AL122" s="726">
        <v>38321</v>
      </c>
      <c r="AM122" s="725">
        <v>16</v>
      </c>
      <c r="AN122" s="727">
        <v>0.56200000000000006</v>
      </c>
      <c r="AO122" s="725">
        <v>16</v>
      </c>
      <c r="AP122" s="727">
        <v>0.08</v>
      </c>
      <c r="AQ122" s="725">
        <v>12</v>
      </c>
      <c r="AR122" s="728">
        <v>0.85599999999999998</v>
      </c>
      <c r="AS122" s="729">
        <v>10</v>
      </c>
      <c r="AT122" s="728">
        <v>5.0000000000000001E-3</v>
      </c>
      <c r="AU122" s="730">
        <v>10</v>
      </c>
      <c r="AV122" s="731">
        <v>0.106</v>
      </c>
      <c r="AW122" s="730">
        <v>9</v>
      </c>
      <c r="AX122" s="728">
        <v>7.2000000000000008E-2</v>
      </c>
      <c r="AY122" s="730">
        <v>9</v>
      </c>
      <c r="AZ122" s="728">
        <v>0.03</v>
      </c>
      <c r="BA122" s="730">
        <v>9</v>
      </c>
      <c r="BB122" s="733">
        <v>0.13400000000000001</v>
      </c>
      <c r="BC122" s="730">
        <v>4</v>
      </c>
      <c r="BD122" s="6"/>
    </row>
    <row r="123" spans="7:56" s="704" customFormat="1" ht="15">
      <c r="G123" s="1546"/>
      <c r="W123" s="6"/>
      <c r="X123" s="87"/>
      <c r="Y123" s="87"/>
      <c r="Z123" s="739"/>
      <c r="AA123" s="739"/>
      <c r="AB123" s="743"/>
      <c r="AC123" s="108"/>
      <c r="AD123" s="108"/>
      <c r="AE123" s="770" t="s">
        <v>1076</v>
      </c>
      <c r="AF123" s="771" t="s">
        <v>653</v>
      </c>
      <c r="AG123" s="108"/>
      <c r="AH123" s="454" t="s">
        <v>426</v>
      </c>
      <c r="AI123" s="455">
        <v>108</v>
      </c>
      <c r="AJ123" s="724">
        <v>6.4953271028037385E-2</v>
      </c>
      <c r="AK123" s="725">
        <v>18</v>
      </c>
      <c r="AL123" s="726">
        <v>38321</v>
      </c>
      <c r="AM123" s="725">
        <v>16</v>
      </c>
      <c r="AN123" s="727">
        <v>0.56200000000000006</v>
      </c>
      <c r="AO123" s="725">
        <v>16</v>
      </c>
      <c r="AP123" s="727">
        <v>0.08</v>
      </c>
      <c r="AQ123" s="725">
        <v>12</v>
      </c>
      <c r="AR123" s="728">
        <v>0.66299999999999992</v>
      </c>
      <c r="AS123" s="729">
        <v>7</v>
      </c>
      <c r="AT123" s="728">
        <v>0</v>
      </c>
      <c r="AU123" s="730">
        <v>10</v>
      </c>
      <c r="AV123" s="731">
        <v>0.19399999999999998</v>
      </c>
      <c r="AW123" s="730">
        <v>8</v>
      </c>
      <c r="AX123" s="728">
        <v>0.16300000000000001</v>
      </c>
      <c r="AY123" s="730">
        <v>8</v>
      </c>
      <c r="AZ123" s="728">
        <v>5.4000000000000006E-2</v>
      </c>
      <c r="BA123" s="730">
        <v>9</v>
      </c>
      <c r="BB123" s="733">
        <v>0.13800000000000001</v>
      </c>
      <c r="BC123" s="730">
        <v>4</v>
      </c>
      <c r="BD123" s="6"/>
    </row>
    <row r="124" spans="7:56" s="704" customFormat="1" ht="15">
      <c r="G124" s="1546"/>
      <c r="W124" s="6"/>
      <c r="X124" s="87"/>
      <c r="Y124" s="87"/>
      <c r="Z124" s="739"/>
      <c r="AA124" s="739"/>
      <c r="AB124" s="743"/>
      <c r="AC124" s="108"/>
      <c r="AD124" s="108"/>
      <c r="AE124" s="770" t="s">
        <v>2513</v>
      </c>
      <c r="AF124" s="771" t="s">
        <v>1450</v>
      </c>
      <c r="AG124" s="108"/>
      <c r="AH124" s="454" t="s">
        <v>426</v>
      </c>
      <c r="AI124" s="455">
        <v>109</v>
      </c>
      <c r="AJ124" s="724">
        <v>6.4953271028037385E-2</v>
      </c>
      <c r="AK124" s="725">
        <v>18</v>
      </c>
      <c r="AL124" s="726">
        <v>38321</v>
      </c>
      <c r="AM124" s="725">
        <v>16</v>
      </c>
      <c r="AN124" s="727">
        <v>0.56200000000000006</v>
      </c>
      <c r="AO124" s="725">
        <v>16</v>
      </c>
      <c r="AP124" s="727">
        <v>0.08</v>
      </c>
      <c r="AQ124" s="725">
        <v>12</v>
      </c>
      <c r="AR124" s="728">
        <v>0.14699999999999999</v>
      </c>
      <c r="AS124" s="729">
        <v>2</v>
      </c>
      <c r="AT124" s="728">
        <v>2.3E-2</v>
      </c>
      <c r="AU124" s="730">
        <v>8</v>
      </c>
      <c r="AV124" s="731">
        <v>0.51600000000000001</v>
      </c>
      <c r="AW124" s="730">
        <v>4</v>
      </c>
      <c r="AX124" s="728">
        <v>0.41499999999999998</v>
      </c>
      <c r="AY124" s="730">
        <v>4</v>
      </c>
      <c r="AZ124" s="728">
        <v>7.9000000000000001E-2</v>
      </c>
      <c r="BA124" s="730">
        <v>8</v>
      </c>
      <c r="BB124" s="733">
        <v>6.4000000000000001E-2</v>
      </c>
      <c r="BC124" s="730">
        <v>2</v>
      </c>
      <c r="BD124" s="6"/>
    </row>
    <row r="125" spans="7:56" s="704" customFormat="1" ht="15">
      <c r="G125" s="1546"/>
      <c r="W125" s="6"/>
      <c r="X125" s="87"/>
      <c r="Y125" s="87"/>
      <c r="Z125" s="739"/>
      <c r="AA125" s="739"/>
      <c r="AB125" s="743"/>
      <c r="AC125" s="108"/>
      <c r="AD125" s="108"/>
      <c r="AE125" s="770" t="s">
        <v>1077</v>
      </c>
      <c r="AF125" s="771" t="s">
        <v>653</v>
      </c>
      <c r="AG125" s="108"/>
      <c r="AH125" s="454" t="s">
        <v>427</v>
      </c>
      <c r="AI125" s="455">
        <v>9626</v>
      </c>
      <c r="AJ125" s="724">
        <v>5.4545454545454543E-2</v>
      </c>
      <c r="AK125" s="725">
        <v>21</v>
      </c>
      <c r="AL125" s="726">
        <v>37610</v>
      </c>
      <c r="AM125" s="725">
        <v>16</v>
      </c>
      <c r="AN125" s="727">
        <v>0.38400000000000001</v>
      </c>
      <c r="AO125" s="725">
        <v>8</v>
      </c>
      <c r="AP125" s="727">
        <v>0.11</v>
      </c>
      <c r="AQ125" s="725">
        <v>10</v>
      </c>
      <c r="AR125" s="728">
        <v>0.8</v>
      </c>
      <c r="AS125" s="729">
        <v>9</v>
      </c>
      <c r="AT125" s="728">
        <v>5.0000000000000001E-3</v>
      </c>
      <c r="AU125" s="730">
        <v>10</v>
      </c>
      <c r="AV125" s="731">
        <v>0.16399999999999998</v>
      </c>
      <c r="AW125" s="730">
        <v>8</v>
      </c>
      <c r="AX125" s="728">
        <v>0.22</v>
      </c>
      <c r="AY125" s="730">
        <v>7</v>
      </c>
      <c r="AZ125" s="728">
        <v>0.13500000000000001</v>
      </c>
      <c r="BA125" s="730">
        <v>6</v>
      </c>
      <c r="BB125" s="733">
        <v>0.09</v>
      </c>
      <c r="BC125" s="730">
        <v>3</v>
      </c>
      <c r="BD125" s="6"/>
    </row>
    <row r="126" spans="7:56" s="704" customFormat="1" ht="15">
      <c r="G126" s="1546"/>
      <c r="W126" s="6"/>
      <c r="X126" s="87"/>
      <c r="Y126" s="87"/>
      <c r="Z126" s="739"/>
      <c r="AA126" s="739"/>
      <c r="AB126" s="743"/>
      <c r="AC126" s="108"/>
      <c r="AD126" s="108"/>
      <c r="AE126" s="770" t="s">
        <v>1078</v>
      </c>
      <c r="AF126" s="771" t="s">
        <v>1450</v>
      </c>
      <c r="AG126" s="108"/>
      <c r="AH126" s="454" t="s">
        <v>427</v>
      </c>
      <c r="AI126" s="455">
        <v>9627</v>
      </c>
      <c r="AJ126" s="724">
        <v>5.4545454545454543E-2</v>
      </c>
      <c r="AK126" s="725">
        <v>21</v>
      </c>
      <c r="AL126" s="726">
        <v>37610</v>
      </c>
      <c r="AM126" s="725">
        <v>16</v>
      </c>
      <c r="AN126" s="727">
        <v>0.38400000000000001</v>
      </c>
      <c r="AO126" s="725">
        <v>8</v>
      </c>
      <c r="AP126" s="727">
        <v>0.11</v>
      </c>
      <c r="AQ126" s="725">
        <v>10</v>
      </c>
      <c r="AR126" s="728">
        <v>0.81400000000000006</v>
      </c>
      <c r="AS126" s="729">
        <v>9</v>
      </c>
      <c r="AT126" s="728">
        <v>0</v>
      </c>
      <c r="AU126" s="730">
        <v>10</v>
      </c>
      <c r="AV126" s="731">
        <v>0.20699999999999999</v>
      </c>
      <c r="AW126" s="730">
        <v>8</v>
      </c>
      <c r="AX126" s="728">
        <v>0.32200000000000001</v>
      </c>
      <c r="AY126" s="730">
        <v>5</v>
      </c>
      <c r="AZ126" s="728">
        <v>0.187</v>
      </c>
      <c r="BA126" s="730">
        <v>4</v>
      </c>
      <c r="BB126" s="733">
        <v>7.400000000000001E-2</v>
      </c>
      <c r="BC126" s="730">
        <v>2</v>
      </c>
      <c r="BD126" s="6"/>
    </row>
    <row r="127" spans="7:56" s="704" customFormat="1" ht="15">
      <c r="G127" s="1546"/>
      <c r="W127" s="6"/>
      <c r="X127" s="87"/>
      <c r="Y127" s="87"/>
      <c r="Z127" s="739"/>
      <c r="AA127" s="739"/>
      <c r="AB127" s="743"/>
      <c r="AC127" s="108"/>
      <c r="AD127" s="108"/>
      <c r="AE127" s="770" t="s">
        <v>1742</v>
      </c>
      <c r="AF127" s="771" t="s">
        <v>1450</v>
      </c>
      <c r="AG127" s="108"/>
      <c r="AH127" s="454" t="s">
        <v>428</v>
      </c>
      <c r="AI127" s="455">
        <v>9579</v>
      </c>
      <c r="AJ127" s="724">
        <v>0</v>
      </c>
      <c r="AK127" s="725">
        <v>30</v>
      </c>
      <c r="AL127" s="726">
        <v>35875</v>
      </c>
      <c r="AM127" s="725">
        <v>18</v>
      </c>
      <c r="AN127" s="727">
        <v>0.55299999999999994</v>
      </c>
      <c r="AO127" s="725">
        <v>16</v>
      </c>
      <c r="AP127" s="727">
        <v>7.400000000000001E-2</v>
      </c>
      <c r="AQ127" s="725">
        <v>14</v>
      </c>
      <c r="AR127" s="728">
        <v>0.85299999999999998</v>
      </c>
      <c r="AS127" s="729">
        <v>10</v>
      </c>
      <c r="AT127" s="728">
        <v>2.2000000000000002E-2</v>
      </c>
      <c r="AU127" s="730">
        <v>8</v>
      </c>
      <c r="AV127" s="731">
        <v>0.19</v>
      </c>
      <c r="AW127" s="730">
        <v>8</v>
      </c>
      <c r="AX127" s="728">
        <v>0.255</v>
      </c>
      <c r="AY127" s="730">
        <v>6</v>
      </c>
      <c r="AZ127" s="728">
        <v>1.8000000000000002E-2</v>
      </c>
      <c r="BA127" s="730">
        <v>10</v>
      </c>
      <c r="BB127" s="733">
        <v>9.3000000000000013E-2</v>
      </c>
      <c r="BC127" s="730">
        <v>3</v>
      </c>
      <c r="BD127" s="6"/>
    </row>
    <row r="128" spans="7:56" s="704" customFormat="1" ht="15">
      <c r="G128" s="1546"/>
      <c r="W128" s="6"/>
      <c r="X128" s="87"/>
      <c r="Y128" s="87"/>
      <c r="Z128" s="739"/>
      <c r="AA128" s="739"/>
      <c r="AB128" s="743"/>
      <c r="AC128" s="108"/>
      <c r="AD128" s="108"/>
      <c r="AE128" s="770" t="s">
        <v>1743</v>
      </c>
      <c r="AF128" s="771" t="s">
        <v>653</v>
      </c>
      <c r="AG128" s="108"/>
      <c r="AH128" s="454" t="s">
        <v>428</v>
      </c>
      <c r="AI128" s="455">
        <v>9580</v>
      </c>
      <c r="AJ128" s="724">
        <v>0</v>
      </c>
      <c r="AK128" s="725">
        <v>30</v>
      </c>
      <c r="AL128" s="726">
        <v>35875</v>
      </c>
      <c r="AM128" s="725">
        <v>18</v>
      </c>
      <c r="AN128" s="727">
        <v>0.55299999999999994</v>
      </c>
      <c r="AO128" s="725">
        <v>16</v>
      </c>
      <c r="AP128" s="727">
        <v>7.400000000000001E-2</v>
      </c>
      <c r="AQ128" s="725">
        <v>14</v>
      </c>
      <c r="AR128" s="728">
        <v>0.80799999999999994</v>
      </c>
      <c r="AS128" s="729">
        <v>9</v>
      </c>
      <c r="AT128" s="728">
        <v>0</v>
      </c>
      <c r="AU128" s="730">
        <v>10</v>
      </c>
      <c r="AV128" s="731">
        <v>0.40799999999999997</v>
      </c>
      <c r="AW128" s="730">
        <v>5</v>
      </c>
      <c r="AX128" s="728">
        <v>0.371</v>
      </c>
      <c r="AY128" s="730">
        <v>4</v>
      </c>
      <c r="AZ128" s="728">
        <v>0.187</v>
      </c>
      <c r="BA128" s="730">
        <v>4</v>
      </c>
      <c r="BB128" s="733">
        <v>4.7E-2</v>
      </c>
      <c r="BC128" s="730">
        <v>2</v>
      </c>
      <c r="BD128" s="6"/>
    </row>
    <row r="129" spans="7:56" s="704" customFormat="1" ht="15">
      <c r="G129" s="1546"/>
      <c r="W129" s="6"/>
      <c r="X129" s="87"/>
      <c r="Y129" s="87"/>
      <c r="Z129" s="739"/>
      <c r="AA129" s="739"/>
      <c r="AB129" s="743"/>
      <c r="AC129" s="108"/>
      <c r="AD129" s="108"/>
      <c r="AE129" s="770" t="s">
        <v>1744</v>
      </c>
      <c r="AF129" s="771" t="s">
        <v>653</v>
      </c>
      <c r="AG129" s="108"/>
      <c r="AH129" s="454" t="s">
        <v>428</v>
      </c>
      <c r="AI129" s="455">
        <v>9581</v>
      </c>
      <c r="AJ129" s="724">
        <v>0</v>
      </c>
      <c r="AK129" s="725">
        <v>30</v>
      </c>
      <c r="AL129" s="726">
        <v>35875</v>
      </c>
      <c r="AM129" s="725">
        <v>18</v>
      </c>
      <c r="AN129" s="727">
        <v>0.55299999999999994</v>
      </c>
      <c r="AO129" s="725">
        <v>16</v>
      </c>
      <c r="AP129" s="727">
        <v>7.400000000000001E-2</v>
      </c>
      <c r="AQ129" s="725">
        <v>14</v>
      </c>
      <c r="AR129" s="728">
        <v>0.78700000000000003</v>
      </c>
      <c r="AS129" s="729">
        <v>9</v>
      </c>
      <c r="AT129" s="728">
        <v>2.7000000000000003E-2</v>
      </c>
      <c r="AU129" s="730">
        <v>8</v>
      </c>
      <c r="AV129" s="731">
        <v>0.22699999999999998</v>
      </c>
      <c r="AW129" s="730">
        <v>7</v>
      </c>
      <c r="AX129" s="728">
        <v>0.29100000000000004</v>
      </c>
      <c r="AY129" s="730">
        <v>6</v>
      </c>
      <c r="AZ129" s="728">
        <v>7.9000000000000001E-2</v>
      </c>
      <c r="BA129" s="730">
        <v>8</v>
      </c>
      <c r="BB129" s="733">
        <v>3.3000000000000002E-2</v>
      </c>
      <c r="BC129" s="730">
        <v>1</v>
      </c>
      <c r="BD129" s="6"/>
    </row>
    <row r="130" spans="7:56" s="704" customFormat="1" ht="15">
      <c r="G130" s="1546"/>
      <c r="W130" s="6"/>
      <c r="X130" s="87"/>
      <c r="Y130" s="87"/>
      <c r="Z130" s="739"/>
      <c r="AA130" s="739"/>
      <c r="AB130" s="743"/>
      <c r="AC130" s="108"/>
      <c r="AD130" s="108"/>
      <c r="AE130" s="770" t="s">
        <v>1079</v>
      </c>
      <c r="AF130" s="771" t="s">
        <v>653</v>
      </c>
      <c r="AG130" s="108"/>
      <c r="AH130" s="454" t="s">
        <v>429</v>
      </c>
      <c r="AI130" s="455">
        <v>9650</v>
      </c>
      <c r="AJ130" s="724">
        <v>0</v>
      </c>
      <c r="AK130" s="725">
        <v>30</v>
      </c>
      <c r="AL130" s="726">
        <v>46449</v>
      </c>
      <c r="AM130" s="725">
        <v>14</v>
      </c>
      <c r="AN130" s="727">
        <v>0.48399999999999999</v>
      </c>
      <c r="AO130" s="725">
        <v>12</v>
      </c>
      <c r="AP130" s="727">
        <v>0.16200000000000001</v>
      </c>
      <c r="AQ130" s="725">
        <v>4</v>
      </c>
      <c r="AR130" s="728">
        <v>0.90200000000000002</v>
      </c>
      <c r="AS130" s="729">
        <v>10</v>
      </c>
      <c r="AT130" s="728">
        <v>1.9E-2</v>
      </c>
      <c r="AU130" s="730">
        <v>9</v>
      </c>
      <c r="AV130" s="731">
        <v>0.113</v>
      </c>
      <c r="AW130" s="730">
        <v>9</v>
      </c>
      <c r="AX130" s="728">
        <v>0.14899999999999999</v>
      </c>
      <c r="AY130" s="730">
        <v>8</v>
      </c>
      <c r="AZ130" s="728">
        <v>0.02</v>
      </c>
      <c r="BA130" s="730">
        <v>10</v>
      </c>
      <c r="BB130" s="733">
        <v>0.153</v>
      </c>
      <c r="BC130" s="730">
        <v>4</v>
      </c>
      <c r="BD130" s="6"/>
    </row>
    <row r="131" spans="7:56" s="704" customFormat="1" ht="15">
      <c r="G131" s="1546"/>
      <c r="W131" s="6"/>
      <c r="X131" s="87"/>
      <c r="Y131" s="87"/>
      <c r="Z131" s="739"/>
      <c r="AA131" s="739"/>
      <c r="AB131" s="743"/>
      <c r="AC131" s="108"/>
      <c r="AD131" s="108"/>
      <c r="AE131" s="770" t="s">
        <v>1080</v>
      </c>
      <c r="AF131" s="771" t="s">
        <v>1450</v>
      </c>
      <c r="AG131" s="108"/>
      <c r="AH131" s="454" t="s">
        <v>429</v>
      </c>
      <c r="AI131" s="455">
        <v>9651</v>
      </c>
      <c r="AJ131" s="724">
        <v>0</v>
      </c>
      <c r="AK131" s="725">
        <v>30</v>
      </c>
      <c r="AL131" s="726">
        <v>46449</v>
      </c>
      <c r="AM131" s="725">
        <v>14</v>
      </c>
      <c r="AN131" s="727">
        <v>0.48399999999999999</v>
      </c>
      <c r="AO131" s="725">
        <v>12</v>
      </c>
      <c r="AP131" s="727">
        <v>0.16200000000000001</v>
      </c>
      <c r="AQ131" s="725">
        <v>4</v>
      </c>
      <c r="AR131" s="728">
        <v>0.82799999999999996</v>
      </c>
      <c r="AS131" s="729">
        <v>9</v>
      </c>
      <c r="AT131" s="728">
        <v>8.9999999999999993E-3</v>
      </c>
      <c r="AU131" s="730">
        <v>10</v>
      </c>
      <c r="AV131" s="731">
        <v>0.20199999999999999</v>
      </c>
      <c r="AW131" s="730">
        <v>8</v>
      </c>
      <c r="AX131" s="728">
        <v>0.121</v>
      </c>
      <c r="AY131" s="730">
        <v>8</v>
      </c>
      <c r="AZ131" s="728">
        <v>0.105</v>
      </c>
      <c r="BA131" s="730">
        <v>7</v>
      </c>
      <c r="BB131" s="733">
        <v>0.08</v>
      </c>
      <c r="BC131" s="730">
        <v>3</v>
      </c>
      <c r="BD131" s="6"/>
    </row>
    <row r="132" spans="7:56" s="704" customFormat="1" ht="15">
      <c r="G132" s="1546"/>
      <c r="W132" s="6"/>
      <c r="X132" s="87"/>
      <c r="Y132" s="87"/>
      <c r="Z132" s="739"/>
      <c r="AA132" s="739"/>
      <c r="AB132" s="743"/>
      <c r="AC132" s="108"/>
      <c r="AD132" s="108"/>
      <c r="AE132" s="770" t="s">
        <v>2514</v>
      </c>
      <c r="AF132" s="771" t="s">
        <v>1450</v>
      </c>
      <c r="AG132" s="108"/>
      <c r="AH132" s="454" t="s">
        <v>430</v>
      </c>
      <c r="AI132" s="455">
        <v>201</v>
      </c>
      <c r="AJ132" s="724">
        <v>9.2257890477475041E-2</v>
      </c>
      <c r="AK132" s="725">
        <v>15</v>
      </c>
      <c r="AL132" s="726">
        <v>40379</v>
      </c>
      <c r="AM132" s="725">
        <v>16</v>
      </c>
      <c r="AN132" s="727">
        <v>0.48099999999999993</v>
      </c>
      <c r="AO132" s="725">
        <v>12</v>
      </c>
      <c r="AP132" s="727">
        <v>9.6999999999999989E-2</v>
      </c>
      <c r="AQ132" s="725">
        <v>12</v>
      </c>
      <c r="AR132" s="728">
        <v>0.82599999999999996</v>
      </c>
      <c r="AS132" s="729">
        <v>9</v>
      </c>
      <c r="AT132" s="728">
        <v>1.4999999999999999E-2</v>
      </c>
      <c r="AU132" s="730">
        <v>9</v>
      </c>
      <c r="AV132" s="731">
        <v>0.153</v>
      </c>
      <c r="AW132" s="730">
        <v>9</v>
      </c>
      <c r="AX132" s="728">
        <v>0.13900000000000001</v>
      </c>
      <c r="AY132" s="730">
        <v>8</v>
      </c>
      <c r="AZ132" s="728">
        <v>3.2000000000000001E-2</v>
      </c>
      <c r="BA132" s="730">
        <v>9</v>
      </c>
      <c r="BB132" s="733">
        <v>0.23899999999999999</v>
      </c>
      <c r="BC132" s="730">
        <v>7</v>
      </c>
      <c r="BD132" s="6"/>
    </row>
    <row r="133" spans="7:56" s="704" customFormat="1" ht="15">
      <c r="G133" s="1546"/>
      <c r="W133" s="6"/>
      <c r="X133" s="87"/>
      <c r="Y133" s="87"/>
      <c r="Z133" s="739"/>
      <c r="AA133" s="739"/>
      <c r="AB133" s="743"/>
      <c r="AC133" s="108"/>
      <c r="AD133" s="108"/>
      <c r="AE133" s="770" t="s">
        <v>2515</v>
      </c>
      <c r="AF133" s="771" t="s">
        <v>1450</v>
      </c>
      <c r="AG133" s="108"/>
      <c r="AH133" s="454" t="s">
        <v>430</v>
      </c>
      <c r="AI133" s="455">
        <v>202.01</v>
      </c>
      <c r="AJ133" s="724">
        <v>9.2257890477475041E-2</v>
      </c>
      <c r="AK133" s="725">
        <v>15</v>
      </c>
      <c r="AL133" s="726">
        <v>40379</v>
      </c>
      <c r="AM133" s="725">
        <v>16</v>
      </c>
      <c r="AN133" s="727">
        <v>0.48099999999999993</v>
      </c>
      <c r="AO133" s="725">
        <v>12</v>
      </c>
      <c r="AP133" s="727">
        <v>9.6999999999999989E-2</v>
      </c>
      <c r="AQ133" s="725">
        <v>12</v>
      </c>
      <c r="AR133" s="728">
        <v>0.86</v>
      </c>
      <c r="AS133" s="729">
        <v>10</v>
      </c>
      <c r="AT133" s="728">
        <v>9.0000000000000011E-3</v>
      </c>
      <c r="AU133" s="730">
        <v>10</v>
      </c>
      <c r="AV133" s="731">
        <v>0.156</v>
      </c>
      <c r="AW133" s="730">
        <v>8</v>
      </c>
      <c r="AX133" s="728">
        <v>0.16800000000000001</v>
      </c>
      <c r="AY133" s="730">
        <v>8</v>
      </c>
      <c r="AZ133" s="728">
        <v>9.6999999999999989E-2</v>
      </c>
      <c r="BA133" s="730">
        <v>7</v>
      </c>
      <c r="BB133" s="733">
        <v>3.6000000000000004E-2</v>
      </c>
      <c r="BC133" s="730">
        <v>1</v>
      </c>
      <c r="BD133" s="6"/>
    </row>
    <row r="134" spans="7:56" s="704" customFormat="1" ht="15">
      <c r="G134" s="1546"/>
      <c r="W134" s="6"/>
      <c r="X134" s="87"/>
      <c r="Y134" s="87"/>
      <c r="Z134" s="739"/>
      <c r="AA134" s="739"/>
      <c r="AB134" s="743"/>
      <c r="AC134" s="108"/>
      <c r="AD134" s="108"/>
      <c r="AE134" s="770" t="s">
        <v>1081</v>
      </c>
      <c r="AF134" s="771" t="s">
        <v>1450</v>
      </c>
      <c r="AG134" s="108"/>
      <c r="AH134" s="454" t="s">
        <v>430</v>
      </c>
      <c r="AI134" s="455">
        <v>202.02</v>
      </c>
      <c r="AJ134" s="724">
        <v>9.2257890477475041E-2</v>
      </c>
      <c r="AK134" s="725">
        <v>15</v>
      </c>
      <c r="AL134" s="726">
        <v>40379</v>
      </c>
      <c r="AM134" s="725">
        <v>16</v>
      </c>
      <c r="AN134" s="727">
        <v>0.48099999999999993</v>
      </c>
      <c r="AO134" s="725">
        <v>12</v>
      </c>
      <c r="AP134" s="727">
        <v>9.6999999999999989E-2</v>
      </c>
      <c r="AQ134" s="725">
        <v>12</v>
      </c>
      <c r="AR134" s="728">
        <v>0.72799999999999998</v>
      </c>
      <c r="AS134" s="729">
        <v>8</v>
      </c>
      <c r="AT134" s="728">
        <v>4.0999999999999995E-2</v>
      </c>
      <c r="AU134" s="730">
        <v>7</v>
      </c>
      <c r="AV134" s="731">
        <v>0.25800000000000001</v>
      </c>
      <c r="AW134" s="730">
        <v>7</v>
      </c>
      <c r="AX134" s="728">
        <v>0.27899999999999997</v>
      </c>
      <c r="AY134" s="730">
        <v>6</v>
      </c>
      <c r="AZ134" s="728">
        <v>0.122</v>
      </c>
      <c r="BA134" s="730">
        <v>6</v>
      </c>
      <c r="BB134" s="733">
        <v>0.14000000000000001</v>
      </c>
      <c r="BC134" s="730">
        <v>4</v>
      </c>
      <c r="BD134" s="6"/>
    </row>
    <row r="135" spans="7:56" s="704" customFormat="1" ht="15">
      <c r="G135" s="1546"/>
      <c r="W135" s="6"/>
      <c r="X135" s="87"/>
      <c r="Y135" s="87"/>
      <c r="Z135" s="739"/>
      <c r="AA135" s="739"/>
      <c r="AB135" s="743"/>
      <c r="AC135" s="108"/>
      <c r="AD135" s="108"/>
      <c r="AE135" s="770" t="s">
        <v>2516</v>
      </c>
      <c r="AF135" s="771" t="s">
        <v>1450</v>
      </c>
      <c r="AG135" s="108"/>
      <c r="AH135" s="454" t="s">
        <v>430</v>
      </c>
      <c r="AI135" s="455">
        <v>203</v>
      </c>
      <c r="AJ135" s="724">
        <v>9.2257890477475041E-2</v>
      </c>
      <c r="AK135" s="725">
        <v>15</v>
      </c>
      <c r="AL135" s="726">
        <v>40379</v>
      </c>
      <c r="AM135" s="725">
        <v>16</v>
      </c>
      <c r="AN135" s="727">
        <v>0.48099999999999993</v>
      </c>
      <c r="AO135" s="725">
        <v>12</v>
      </c>
      <c r="AP135" s="727">
        <v>9.6999999999999989E-2</v>
      </c>
      <c r="AQ135" s="725">
        <v>12</v>
      </c>
      <c r="AR135" s="728">
        <v>0.62</v>
      </c>
      <c r="AS135" s="729">
        <v>7</v>
      </c>
      <c r="AT135" s="728">
        <v>9.0000000000000011E-3</v>
      </c>
      <c r="AU135" s="730">
        <v>10</v>
      </c>
      <c r="AV135" s="731">
        <v>0.22899999999999998</v>
      </c>
      <c r="AW135" s="730">
        <v>7</v>
      </c>
      <c r="AX135" s="728">
        <v>0.27600000000000002</v>
      </c>
      <c r="AY135" s="730">
        <v>6</v>
      </c>
      <c r="AZ135" s="728">
        <v>5.2000000000000005E-2</v>
      </c>
      <c r="BA135" s="730">
        <v>9</v>
      </c>
      <c r="BB135" s="733">
        <v>0.14800000000000002</v>
      </c>
      <c r="BC135" s="730">
        <v>4</v>
      </c>
      <c r="BD135" s="6"/>
    </row>
    <row r="136" spans="7:56" s="704" customFormat="1" ht="15">
      <c r="G136" s="1546"/>
      <c r="W136" s="6"/>
      <c r="X136" s="87"/>
      <c r="Y136" s="87"/>
      <c r="Z136" s="739"/>
      <c r="AA136" s="739"/>
      <c r="AB136" s="743"/>
      <c r="AC136" s="108"/>
      <c r="AD136" s="108"/>
      <c r="AE136" s="770" t="s">
        <v>1082</v>
      </c>
      <c r="AF136" s="771" t="s">
        <v>1450</v>
      </c>
      <c r="AG136" s="108"/>
      <c r="AH136" s="454" t="s">
        <v>430</v>
      </c>
      <c r="AI136" s="455">
        <v>204</v>
      </c>
      <c r="AJ136" s="724">
        <v>9.2257890477475041E-2</v>
      </c>
      <c r="AK136" s="725">
        <v>15</v>
      </c>
      <c r="AL136" s="726">
        <v>40379</v>
      </c>
      <c r="AM136" s="725">
        <v>16</v>
      </c>
      <c r="AN136" s="727">
        <v>0.48099999999999993</v>
      </c>
      <c r="AO136" s="725">
        <v>12</v>
      </c>
      <c r="AP136" s="727">
        <v>9.6999999999999989E-2</v>
      </c>
      <c r="AQ136" s="725">
        <v>12</v>
      </c>
      <c r="AR136" s="728">
        <v>0.82700000000000007</v>
      </c>
      <c r="AS136" s="729">
        <v>9</v>
      </c>
      <c r="AT136" s="728">
        <v>3.8000000000000006E-2</v>
      </c>
      <c r="AU136" s="730">
        <v>7</v>
      </c>
      <c r="AV136" s="731">
        <v>0.32400000000000001</v>
      </c>
      <c r="AW136" s="730">
        <v>6</v>
      </c>
      <c r="AX136" s="728">
        <v>0.33</v>
      </c>
      <c r="AY136" s="730">
        <v>5</v>
      </c>
      <c r="AZ136" s="728">
        <v>8.900000000000001E-2</v>
      </c>
      <c r="BA136" s="730">
        <v>7</v>
      </c>
      <c r="BB136" s="733">
        <v>0.04</v>
      </c>
      <c r="BC136" s="730">
        <v>2</v>
      </c>
      <c r="BD136" s="6"/>
    </row>
    <row r="137" spans="7:56" s="704" customFormat="1" ht="15">
      <c r="G137" s="1546"/>
      <c r="W137" s="6"/>
      <c r="X137" s="87"/>
      <c r="Y137" s="87"/>
      <c r="Z137" s="739"/>
      <c r="AA137" s="739"/>
      <c r="AB137" s="743"/>
      <c r="AC137" s="108"/>
      <c r="AD137" s="108"/>
      <c r="AE137" s="770" t="s">
        <v>1083</v>
      </c>
      <c r="AF137" s="771" t="s">
        <v>653</v>
      </c>
      <c r="AG137" s="108"/>
      <c r="AH137" s="454" t="s">
        <v>430</v>
      </c>
      <c r="AI137" s="455">
        <v>205</v>
      </c>
      <c r="AJ137" s="724">
        <v>9.2257890477475041E-2</v>
      </c>
      <c r="AK137" s="725">
        <v>15</v>
      </c>
      <c r="AL137" s="726">
        <v>40379</v>
      </c>
      <c r="AM137" s="725">
        <v>16</v>
      </c>
      <c r="AN137" s="727">
        <v>0.48099999999999993</v>
      </c>
      <c r="AO137" s="725">
        <v>12</v>
      </c>
      <c r="AP137" s="727">
        <v>9.6999999999999989E-2</v>
      </c>
      <c r="AQ137" s="725">
        <v>12</v>
      </c>
      <c r="AR137" s="728">
        <v>0.65599999999999992</v>
      </c>
      <c r="AS137" s="729">
        <v>7</v>
      </c>
      <c r="AT137" s="728">
        <v>4.0000000000000001E-3</v>
      </c>
      <c r="AU137" s="730">
        <v>10</v>
      </c>
      <c r="AV137" s="731">
        <v>0.318</v>
      </c>
      <c r="AW137" s="730">
        <v>6</v>
      </c>
      <c r="AX137" s="728">
        <v>0.29899999999999999</v>
      </c>
      <c r="AY137" s="730">
        <v>6</v>
      </c>
      <c r="AZ137" s="728">
        <v>0.105</v>
      </c>
      <c r="BA137" s="730">
        <v>7</v>
      </c>
      <c r="BB137" s="733">
        <v>9.5000000000000001E-2</v>
      </c>
      <c r="BC137" s="730">
        <v>3</v>
      </c>
      <c r="BD137" s="6"/>
    </row>
    <row r="138" spans="7:56" s="704" customFormat="1" ht="15">
      <c r="G138" s="1546"/>
      <c r="W138" s="6"/>
      <c r="X138" s="87"/>
      <c r="Y138" s="87"/>
      <c r="Z138" s="739"/>
      <c r="AA138" s="739"/>
      <c r="AB138" s="743"/>
      <c r="AC138" s="108"/>
      <c r="AD138" s="108"/>
      <c r="AE138" s="770" t="s">
        <v>1084</v>
      </c>
      <c r="AF138" s="771" t="s">
        <v>1450</v>
      </c>
      <c r="AG138" s="108"/>
      <c r="AH138" s="454" t="s">
        <v>430</v>
      </c>
      <c r="AI138" s="455">
        <v>206</v>
      </c>
      <c r="AJ138" s="724">
        <v>9.2257890477475041E-2</v>
      </c>
      <c r="AK138" s="725">
        <v>15</v>
      </c>
      <c r="AL138" s="726">
        <v>40379</v>
      </c>
      <c r="AM138" s="725">
        <v>16</v>
      </c>
      <c r="AN138" s="727">
        <v>0.48099999999999993</v>
      </c>
      <c r="AO138" s="725">
        <v>12</v>
      </c>
      <c r="AP138" s="727">
        <v>9.6999999999999989E-2</v>
      </c>
      <c r="AQ138" s="725">
        <v>12</v>
      </c>
      <c r="AR138" s="728">
        <v>0.84900000000000009</v>
      </c>
      <c r="AS138" s="729">
        <v>9</v>
      </c>
      <c r="AT138" s="728">
        <v>1.3000000000000001E-2</v>
      </c>
      <c r="AU138" s="730">
        <v>9</v>
      </c>
      <c r="AV138" s="731">
        <v>0.21899999999999997</v>
      </c>
      <c r="AW138" s="730">
        <v>8</v>
      </c>
      <c r="AX138" s="728">
        <v>0.22699999999999998</v>
      </c>
      <c r="AY138" s="730">
        <v>7</v>
      </c>
      <c r="AZ138" s="728">
        <v>5.7999999999999996E-2</v>
      </c>
      <c r="BA138" s="730">
        <v>9</v>
      </c>
      <c r="BB138" s="733">
        <v>6.6000000000000003E-2</v>
      </c>
      <c r="BC138" s="730">
        <v>2</v>
      </c>
      <c r="BD138" s="6"/>
    </row>
    <row r="139" spans="7:56" s="704" customFormat="1" ht="15">
      <c r="G139" s="1546"/>
      <c r="W139" s="6"/>
      <c r="X139" s="87"/>
      <c r="Y139" s="87"/>
      <c r="Z139" s="739"/>
      <c r="AA139" s="739"/>
      <c r="AB139" s="743"/>
      <c r="AC139" s="108"/>
      <c r="AD139" s="108"/>
      <c r="AE139" s="770" t="s">
        <v>1085</v>
      </c>
      <c r="AF139" s="771" t="s">
        <v>653</v>
      </c>
      <c r="AG139" s="108"/>
      <c r="AH139" s="454" t="s">
        <v>430</v>
      </c>
      <c r="AI139" s="455">
        <v>207</v>
      </c>
      <c r="AJ139" s="724">
        <v>9.2257890477475041E-2</v>
      </c>
      <c r="AK139" s="725">
        <v>15</v>
      </c>
      <c r="AL139" s="726">
        <v>40379</v>
      </c>
      <c r="AM139" s="725">
        <v>16</v>
      </c>
      <c r="AN139" s="727">
        <v>0.48099999999999993</v>
      </c>
      <c r="AO139" s="725">
        <v>12</v>
      </c>
      <c r="AP139" s="727">
        <v>9.6999999999999989E-2</v>
      </c>
      <c r="AQ139" s="725">
        <v>12</v>
      </c>
      <c r="AR139" s="728">
        <v>0.77599999999999991</v>
      </c>
      <c r="AS139" s="729">
        <v>9</v>
      </c>
      <c r="AT139" s="728">
        <v>0</v>
      </c>
      <c r="AU139" s="730">
        <v>10</v>
      </c>
      <c r="AV139" s="731">
        <v>0.19399999999999998</v>
      </c>
      <c r="AW139" s="730">
        <v>8</v>
      </c>
      <c r="AX139" s="728">
        <v>0.159</v>
      </c>
      <c r="AY139" s="730">
        <v>8</v>
      </c>
      <c r="AZ139" s="728">
        <v>5.2999999999999999E-2</v>
      </c>
      <c r="BA139" s="730">
        <v>9</v>
      </c>
      <c r="BB139" s="733">
        <v>9.6000000000000002E-2</v>
      </c>
      <c r="BC139" s="730">
        <v>3</v>
      </c>
      <c r="BD139" s="6"/>
    </row>
    <row r="140" spans="7:56" s="704" customFormat="1" ht="15">
      <c r="G140" s="1546"/>
      <c r="W140" s="6"/>
      <c r="X140" s="87"/>
      <c r="Y140" s="87"/>
      <c r="Z140" s="739"/>
      <c r="AA140" s="739"/>
      <c r="AB140" s="743"/>
      <c r="AC140" s="108"/>
      <c r="AD140" s="108"/>
      <c r="AE140" s="770" t="s">
        <v>1086</v>
      </c>
      <c r="AF140" s="771" t="s">
        <v>1450</v>
      </c>
      <c r="AG140" s="108"/>
      <c r="AH140" s="454" t="s">
        <v>430</v>
      </c>
      <c r="AI140" s="455">
        <v>208</v>
      </c>
      <c r="AJ140" s="724">
        <v>9.2257890477475041E-2</v>
      </c>
      <c r="AK140" s="725">
        <v>15</v>
      </c>
      <c r="AL140" s="726">
        <v>40379</v>
      </c>
      <c r="AM140" s="725">
        <v>16</v>
      </c>
      <c r="AN140" s="727">
        <v>0.48099999999999993</v>
      </c>
      <c r="AO140" s="725">
        <v>12</v>
      </c>
      <c r="AP140" s="727">
        <v>9.6999999999999989E-2</v>
      </c>
      <c r="AQ140" s="725">
        <v>12</v>
      </c>
      <c r="AR140" s="728">
        <v>0.68</v>
      </c>
      <c r="AS140" s="729">
        <v>8</v>
      </c>
      <c r="AT140" s="728">
        <v>1.8000000000000002E-2</v>
      </c>
      <c r="AU140" s="730">
        <v>9</v>
      </c>
      <c r="AV140" s="731">
        <v>0.20199999999999999</v>
      </c>
      <c r="AW140" s="730">
        <v>8</v>
      </c>
      <c r="AX140" s="728">
        <v>0.17800000000000002</v>
      </c>
      <c r="AY140" s="730">
        <v>8</v>
      </c>
      <c r="AZ140" s="728">
        <v>7.0000000000000007E-2</v>
      </c>
      <c r="BA140" s="730">
        <v>8</v>
      </c>
      <c r="BB140" s="733">
        <v>0.11199999999999999</v>
      </c>
      <c r="BC140" s="730">
        <v>3</v>
      </c>
      <c r="BD140" s="6"/>
    </row>
    <row r="141" spans="7:56" s="704" customFormat="1" ht="15">
      <c r="G141" s="1546"/>
      <c r="W141" s="6"/>
      <c r="X141" s="87"/>
      <c r="Y141" s="87"/>
      <c r="Z141" s="739"/>
      <c r="AA141" s="739"/>
      <c r="AB141" s="743"/>
      <c r="AC141" s="108"/>
      <c r="AD141" s="108"/>
      <c r="AE141" s="770" t="s">
        <v>1087</v>
      </c>
      <c r="AF141" s="771" t="s">
        <v>653</v>
      </c>
      <c r="AG141" s="108"/>
      <c r="AH141" s="454" t="s">
        <v>430</v>
      </c>
      <c r="AI141" s="455">
        <v>209</v>
      </c>
      <c r="AJ141" s="724">
        <v>9.2257890477475041E-2</v>
      </c>
      <c r="AK141" s="725">
        <v>15</v>
      </c>
      <c r="AL141" s="726">
        <v>40379</v>
      </c>
      <c r="AM141" s="725">
        <v>16</v>
      </c>
      <c r="AN141" s="727">
        <v>0.48099999999999993</v>
      </c>
      <c r="AO141" s="725">
        <v>12</v>
      </c>
      <c r="AP141" s="727">
        <v>9.6999999999999989E-2</v>
      </c>
      <c r="AQ141" s="725">
        <v>12</v>
      </c>
      <c r="AR141" s="728">
        <v>0.875</v>
      </c>
      <c r="AS141" s="729">
        <v>10</v>
      </c>
      <c r="AT141" s="728">
        <v>2E-3</v>
      </c>
      <c r="AU141" s="730">
        <v>10</v>
      </c>
      <c r="AV141" s="731">
        <v>0.129</v>
      </c>
      <c r="AW141" s="730">
        <v>9</v>
      </c>
      <c r="AX141" s="728">
        <v>0.16699999999999998</v>
      </c>
      <c r="AY141" s="730">
        <v>8</v>
      </c>
      <c r="AZ141" s="728">
        <v>5.2999999999999999E-2</v>
      </c>
      <c r="BA141" s="730">
        <v>9</v>
      </c>
      <c r="BB141" s="733">
        <v>0.11</v>
      </c>
      <c r="BC141" s="730">
        <v>3</v>
      </c>
      <c r="BD141" s="6"/>
    </row>
    <row r="142" spans="7:56" s="704" customFormat="1" ht="15">
      <c r="G142" s="1546"/>
      <c r="W142" s="6"/>
      <c r="X142" s="87"/>
      <c r="Y142" s="87"/>
      <c r="Z142" s="739"/>
      <c r="AA142" s="739"/>
      <c r="AB142" s="743"/>
      <c r="AC142" s="108"/>
      <c r="AD142" s="108"/>
      <c r="AE142" s="770" t="s">
        <v>1088</v>
      </c>
      <c r="AF142" s="771" t="s">
        <v>1450</v>
      </c>
      <c r="AG142" s="108"/>
      <c r="AH142" s="454" t="s">
        <v>430</v>
      </c>
      <c r="AI142" s="455">
        <v>210</v>
      </c>
      <c r="AJ142" s="724">
        <v>9.2257890477475041E-2</v>
      </c>
      <c r="AK142" s="725">
        <v>15</v>
      </c>
      <c r="AL142" s="726">
        <v>40379</v>
      </c>
      <c r="AM142" s="725">
        <v>16</v>
      </c>
      <c r="AN142" s="727">
        <v>0.48099999999999993</v>
      </c>
      <c r="AO142" s="725">
        <v>12</v>
      </c>
      <c r="AP142" s="727">
        <v>9.6999999999999989E-2</v>
      </c>
      <c r="AQ142" s="725">
        <v>12</v>
      </c>
      <c r="AR142" s="728">
        <v>0.89</v>
      </c>
      <c r="AS142" s="729">
        <v>10</v>
      </c>
      <c r="AT142" s="728">
        <v>1.6E-2</v>
      </c>
      <c r="AU142" s="730">
        <v>9</v>
      </c>
      <c r="AV142" s="731">
        <v>0.114</v>
      </c>
      <c r="AW142" s="730">
        <v>9</v>
      </c>
      <c r="AX142" s="728">
        <v>0.11</v>
      </c>
      <c r="AY142" s="730">
        <v>9</v>
      </c>
      <c r="AZ142" s="728">
        <v>3.6000000000000004E-2</v>
      </c>
      <c r="BA142" s="730">
        <v>9</v>
      </c>
      <c r="BB142" s="733">
        <v>8.1000000000000003E-2</v>
      </c>
      <c r="BC142" s="730">
        <v>3</v>
      </c>
      <c r="BD142" s="6"/>
    </row>
    <row r="143" spans="7:56" s="704" customFormat="1" ht="15">
      <c r="G143" s="1546"/>
      <c r="W143" s="6"/>
      <c r="X143" s="87"/>
      <c r="Y143" s="87"/>
      <c r="Z143" s="739"/>
      <c r="AA143" s="739"/>
      <c r="AB143" s="743"/>
      <c r="AC143" s="108"/>
      <c r="AD143" s="108"/>
      <c r="AE143" s="770" t="s">
        <v>1089</v>
      </c>
      <c r="AF143" s="771" t="s">
        <v>1450</v>
      </c>
      <c r="AG143" s="108"/>
      <c r="AH143" s="454" t="s">
        <v>430</v>
      </c>
      <c r="AI143" s="455">
        <v>211</v>
      </c>
      <c r="AJ143" s="724">
        <v>9.2257890477475041E-2</v>
      </c>
      <c r="AK143" s="725">
        <v>15</v>
      </c>
      <c r="AL143" s="726">
        <v>40379</v>
      </c>
      <c r="AM143" s="725">
        <v>16</v>
      </c>
      <c r="AN143" s="727">
        <v>0.48099999999999993</v>
      </c>
      <c r="AO143" s="725">
        <v>12</v>
      </c>
      <c r="AP143" s="727">
        <v>9.6999999999999989E-2</v>
      </c>
      <c r="AQ143" s="725">
        <v>12</v>
      </c>
      <c r="AR143" s="728">
        <v>0.84299999999999997</v>
      </c>
      <c r="AS143" s="729">
        <v>9</v>
      </c>
      <c r="AT143" s="728">
        <v>1.7000000000000001E-2</v>
      </c>
      <c r="AU143" s="730">
        <v>9</v>
      </c>
      <c r="AV143" s="731">
        <v>0.14899999999999999</v>
      </c>
      <c r="AW143" s="730">
        <v>9</v>
      </c>
      <c r="AX143" s="728">
        <v>0.16399999999999998</v>
      </c>
      <c r="AY143" s="730">
        <v>8</v>
      </c>
      <c r="AZ143" s="728">
        <v>6.6000000000000003E-2</v>
      </c>
      <c r="BA143" s="730">
        <v>8</v>
      </c>
      <c r="BB143" s="733">
        <v>3.6000000000000004E-2</v>
      </c>
      <c r="BC143" s="730">
        <v>1</v>
      </c>
      <c r="BD143" s="6"/>
    </row>
    <row r="144" spans="7:56" s="704" customFormat="1" ht="15">
      <c r="G144" s="1546"/>
      <c r="W144" s="6"/>
      <c r="X144" s="87"/>
      <c r="Y144" s="87"/>
      <c r="Z144" s="739"/>
      <c r="AA144" s="739"/>
      <c r="AB144" s="743"/>
      <c r="AC144" s="108"/>
      <c r="AD144" s="108"/>
      <c r="AE144" s="770" t="s">
        <v>1090</v>
      </c>
      <c r="AF144" s="771" t="s">
        <v>1450</v>
      </c>
      <c r="AG144" s="108"/>
      <c r="AH144" s="454" t="s">
        <v>431</v>
      </c>
      <c r="AI144" s="455">
        <v>9677</v>
      </c>
      <c r="AJ144" s="735">
        <v>3.8461538461538464E-2</v>
      </c>
      <c r="AK144" s="730">
        <v>24</v>
      </c>
      <c r="AL144" s="736">
        <v>35810</v>
      </c>
      <c r="AM144" s="729">
        <v>18</v>
      </c>
      <c r="AN144" s="737">
        <v>0.52700000000000002</v>
      </c>
      <c r="AO144" s="729">
        <v>14</v>
      </c>
      <c r="AP144" s="728">
        <v>0.04</v>
      </c>
      <c r="AQ144" s="738">
        <v>16</v>
      </c>
      <c r="AR144" s="728">
        <v>0.84699999999999998</v>
      </c>
      <c r="AS144" s="729">
        <v>9</v>
      </c>
      <c r="AT144" s="728">
        <v>0</v>
      </c>
      <c r="AU144" s="730">
        <v>10</v>
      </c>
      <c r="AV144" s="731">
        <v>0.10800000000000001</v>
      </c>
      <c r="AW144" s="730">
        <v>9</v>
      </c>
      <c r="AX144" s="728">
        <v>0.13900000000000001</v>
      </c>
      <c r="AY144" s="730">
        <v>8</v>
      </c>
      <c r="AZ144" s="728">
        <v>4.7E-2</v>
      </c>
      <c r="BA144" s="730">
        <v>9</v>
      </c>
      <c r="BB144" s="733">
        <v>5.9000000000000004E-2</v>
      </c>
      <c r="BC144" s="730">
        <v>2</v>
      </c>
      <c r="BD144" s="6"/>
    </row>
    <row r="145" spans="7:56" s="704" customFormat="1" ht="15">
      <c r="G145" s="1546"/>
      <c r="W145" s="6"/>
      <c r="X145" s="87"/>
      <c r="Y145" s="87"/>
      <c r="Z145" s="739"/>
      <c r="AA145" s="739"/>
      <c r="AB145" s="743"/>
      <c r="AC145" s="108"/>
      <c r="AD145" s="108"/>
      <c r="AE145" s="770" t="s">
        <v>1091</v>
      </c>
      <c r="AF145" s="771" t="s">
        <v>1450</v>
      </c>
      <c r="AG145" s="108"/>
      <c r="AH145" s="454" t="s">
        <v>431</v>
      </c>
      <c r="AI145" s="455">
        <v>9678</v>
      </c>
      <c r="AJ145" s="735">
        <v>3.8461538461538464E-2</v>
      </c>
      <c r="AK145" s="730">
        <v>24</v>
      </c>
      <c r="AL145" s="736">
        <v>35810</v>
      </c>
      <c r="AM145" s="729">
        <v>18</v>
      </c>
      <c r="AN145" s="737">
        <v>0.52700000000000002</v>
      </c>
      <c r="AO145" s="729">
        <v>14</v>
      </c>
      <c r="AP145" s="728">
        <v>0.04</v>
      </c>
      <c r="AQ145" s="738">
        <v>16</v>
      </c>
      <c r="AR145" s="728">
        <v>0.47299999999999998</v>
      </c>
      <c r="AS145" s="729">
        <v>5</v>
      </c>
      <c r="AT145" s="728">
        <v>5.0000000000000001E-3</v>
      </c>
      <c r="AU145" s="730">
        <v>10</v>
      </c>
      <c r="AV145" s="731">
        <v>0.35499999999999998</v>
      </c>
      <c r="AW145" s="730">
        <v>6</v>
      </c>
      <c r="AX145" s="728">
        <v>0.19899999999999998</v>
      </c>
      <c r="AY145" s="730">
        <v>7</v>
      </c>
      <c r="AZ145" s="728">
        <v>0.10300000000000001</v>
      </c>
      <c r="BA145" s="730">
        <v>7</v>
      </c>
      <c r="BB145" s="733">
        <v>0.20899999999999999</v>
      </c>
      <c r="BC145" s="730">
        <v>6</v>
      </c>
      <c r="BD145" s="6"/>
    </row>
    <row r="146" spans="7:56" s="704" customFormat="1" ht="15">
      <c r="G146" s="1546"/>
      <c r="W146" s="6"/>
      <c r="X146" s="87"/>
      <c r="Y146" s="87"/>
      <c r="Z146" s="739"/>
      <c r="AA146" s="739"/>
      <c r="AB146" s="743"/>
      <c r="AC146" s="108"/>
      <c r="AD146" s="108"/>
      <c r="AE146" s="770" t="s">
        <v>1092</v>
      </c>
      <c r="AF146" s="771" t="s">
        <v>1450</v>
      </c>
      <c r="AG146" s="108"/>
      <c r="AH146" s="454" t="s">
        <v>291</v>
      </c>
      <c r="AI146" s="455">
        <v>9694</v>
      </c>
      <c r="AJ146" s="724">
        <v>6.7491563554555678E-3</v>
      </c>
      <c r="AK146" s="725">
        <v>30</v>
      </c>
      <c r="AL146" s="726">
        <v>41071</v>
      </c>
      <c r="AM146" s="725">
        <v>16</v>
      </c>
      <c r="AN146" s="727">
        <v>0.36499999999999999</v>
      </c>
      <c r="AO146" s="725">
        <v>6</v>
      </c>
      <c r="AP146" s="727">
        <v>0.155</v>
      </c>
      <c r="AQ146" s="725">
        <v>6</v>
      </c>
      <c r="AR146" s="728">
        <v>0.8909999999999999</v>
      </c>
      <c r="AS146" s="729">
        <v>10</v>
      </c>
      <c r="AT146" s="728">
        <v>2.4E-2</v>
      </c>
      <c r="AU146" s="730">
        <v>8</v>
      </c>
      <c r="AV146" s="731">
        <v>0.13200000000000001</v>
      </c>
      <c r="AW146" s="730">
        <v>9</v>
      </c>
      <c r="AX146" s="728">
        <v>0.105</v>
      </c>
      <c r="AY146" s="730">
        <v>9</v>
      </c>
      <c r="AZ146" s="728">
        <v>5.7000000000000002E-2</v>
      </c>
      <c r="BA146" s="730">
        <v>9</v>
      </c>
      <c r="BB146" s="733">
        <v>5.7999999999999996E-2</v>
      </c>
      <c r="BC146" s="730">
        <v>2</v>
      </c>
      <c r="BD146" s="6"/>
    </row>
    <row r="147" spans="7:56" s="704" customFormat="1" ht="15">
      <c r="G147" s="1546"/>
      <c r="W147" s="6"/>
      <c r="X147" s="87"/>
      <c r="Y147" s="87"/>
      <c r="Z147" s="739"/>
      <c r="AA147" s="739"/>
      <c r="AB147" s="743"/>
      <c r="AC147" s="108"/>
      <c r="AD147" s="108"/>
      <c r="AE147" s="770" t="s">
        <v>2517</v>
      </c>
      <c r="AF147" s="771" t="s">
        <v>1450</v>
      </c>
      <c r="AG147" s="108"/>
      <c r="AH147" s="454" t="s">
        <v>291</v>
      </c>
      <c r="AI147" s="455">
        <v>9695</v>
      </c>
      <c r="AJ147" s="724">
        <v>6.7491563554555678E-3</v>
      </c>
      <c r="AK147" s="725">
        <v>30</v>
      </c>
      <c r="AL147" s="726">
        <v>41071</v>
      </c>
      <c r="AM147" s="725">
        <v>16</v>
      </c>
      <c r="AN147" s="727">
        <v>0.36499999999999999</v>
      </c>
      <c r="AO147" s="725">
        <v>6</v>
      </c>
      <c r="AP147" s="727">
        <v>0.155</v>
      </c>
      <c r="AQ147" s="725">
        <v>6</v>
      </c>
      <c r="AR147" s="728">
        <v>0.90700000000000003</v>
      </c>
      <c r="AS147" s="729">
        <v>10</v>
      </c>
      <c r="AT147" s="728">
        <v>0</v>
      </c>
      <c r="AU147" s="730">
        <v>10</v>
      </c>
      <c r="AV147" s="731">
        <v>6.4000000000000001E-2</v>
      </c>
      <c r="AW147" s="730">
        <v>10</v>
      </c>
      <c r="AX147" s="728">
        <v>6.5000000000000002E-2</v>
      </c>
      <c r="AY147" s="730">
        <v>9</v>
      </c>
      <c r="AZ147" s="728">
        <v>7.0000000000000007E-2</v>
      </c>
      <c r="BA147" s="730">
        <v>8</v>
      </c>
      <c r="BB147" s="733">
        <v>0.127</v>
      </c>
      <c r="BC147" s="730">
        <v>4</v>
      </c>
      <c r="BD147" s="6"/>
    </row>
    <row r="148" spans="7:56" s="704" customFormat="1" ht="15">
      <c r="G148" s="1546"/>
      <c r="W148" s="6"/>
      <c r="X148" s="87"/>
      <c r="Y148" s="87"/>
      <c r="Z148" s="739"/>
      <c r="AA148" s="739"/>
      <c r="AB148" s="743"/>
      <c r="AC148" s="108"/>
      <c r="AD148" s="108"/>
      <c r="AE148" s="770" t="s">
        <v>2775</v>
      </c>
      <c r="AF148" s="771" t="s">
        <v>1450</v>
      </c>
      <c r="AG148" s="108"/>
      <c r="AH148" s="454" t="s">
        <v>291</v>
      </c>
      <c r="AI148" s="455">
        <v>9696</v>
      </c>
      <c r="AJ148" s="724">
        <v>6.7491563554555678E-3</v>
      </c>
      <c r="AK148" s="725">
        <v>30</v>
      </c>
      <c r="AL148" s="726">
        <v>41071</v>
      </c>
      <c r="AM148" s="725">
        <v>16</v>
      </c>
      <c r="AN148" s="727">
        <v>0.36499999999999999</v>
      </c>
      <c r="AO148" s="725">
        <v>6</v>
      </c>
      <c r="AP148" s="727">
        <v>0.155</v>
      </c>
      <c r="AQ148" s="725">
        <v>6</v>
      </c>
      <c r="AR148" s="728">
        <v>0.68900000000000006</v>
      </c>
      <c r="AS148" s="729">
        <v>8</v>
      </c>
      <c r="AT148" s="728">
        <v>0</v>
      </c>
      <c r="AU148" s="730">
        <v>10</v>
      </c>
      <c r="AV148" s="731">
        <v>0.16800000000000001</v>
      </c>
      <c r="AW148" s="730">
        <v>8</v>
      </c>
      <c r="AX148" s="728">
        <v>0.17300000000000001</v>
      </c>
      <c r="AY148" s="730">
        <v>8</v>
      </c>
      <c r="AZ148" s="728">
        <v>3.5000000000000003E-2</v>
      </c>
      <c r="BA148" s="730">
        <v>9</v>
      </c>
      <c r="BB148" s="733">
        <v>8.4000000000000005E-2</v>
      </c>
      <c r="BC148" s="730">
        <v>3</v>
      </c>
      <c r="BD148" s="6"/>
    </row>
    <row r="149" spans="7:56" s="704" customFormat="1" ht="15">
      <c r="G149" s="1546"/>
      <c r="W149" s="6"/>
      <c r="X149" s="87"/>
      <c r="Y149" s="87"/>
      <c r="Z149" s="739"/>
      <c r="AA149" s="739"/>
      <c r="AB149" s="743"/>
      <c r="AC149" s="108"/>
      <c r="AD149" s="108"/>
      <c r="AE149" s="770" t="s">
        <v>1745</v>
      </c>
      <c r="AF149" s="771" t="s">
        <v>653</v>
      </c>
      <c r="AG149" s="108"/>
      <c r="AH149" s="454" t="s">
        <v>432</v>
      </c>
      <c r="AI149" s="455">
        <v>9501</v>
      </c>
      <c r="AJ149" s="735">
        <v>7.2350230414746544E-2</v>
      </c>
      <c r="AK149" s="730">
        <v>18</v>
      </c>
      <c r="AL149" s="736">
        <v>39038</v>
      </c>
      <c r="AM149" s="729">
        <v>16</v>
      </c>
      <c r="AN149" s="737">
        <v>0.46100000000000002</v>
      </c>
      <c r="AO149" s="729">
        <v>12</v>
      </c>
      <c r="AP149" s="728">
        <v>6.5000000000000002E-2</v>
      </c>
      <c r="AQ149" s="738">
        <v>14</v>
      </c>
      <c r="AR149" s="728">
        <v>0.70499999999999996</v>
      </c>
      <c r="AS149" s="729">
        <v>8</v>
      </c>
      <c r="AT149" s="728">
        <v>2.4E-2</v>
      </c>
      <c r="AU149" s="730">
        <v>8</v>
      </c>
      <c r="AV149" s="734">
        <v>0.218</v>
      </c>
      <c r="AW149" s="730">
        <v>8</v>
      </c>
      <c r="AX149" s="728">
        <v>0.215</v>
      </c>
      <c r="AY149" s="730">
        <v>7</v>
      </c>
      <c r="AZ149" s="728">
        <v>4.4000000000000004E-2</v>
      </c>
      <c r="BA149" s="730">
        <v>9</v>
      </c>
      <c r="BB149" s="733">
        <v>5.7000000000000002E-2</v>
      </c>
      <c r="BC149" s="730">
        <v>2</v>
      </c>
      <c r="BD149" s="6"/>
    </row>
    <row r="150" spans="7:56" s="704" customFormat="1" ht="15">
      <c r="G150" s="1546"/>
      <c r="W150" s="6"/>
      <c r="X150" s="87"/>
      <c r="Y150" s="87"/>
      <c r="Z150" s="739"/>
      <c r="AA150" s="739"/>
      <c r="AB150" s="743"/>
      <c r="AC150" s="108"/>
      <c r="AD150" s="108"/>
      <c r="AE150" s="770" t="s">
        <v>2518</v>
      </c>
      <c r="AF150" s="771" t="s">
        <v>1450</v>
      </c>
      <c r="AG150" s="108"/>
      <c r="AH150" s="454" t="s">
        <v>432</v>
      </c>
      <c r="AI150" s="455">
        <v>9502</v>
      </c>
      <c r="AJ150" s="735">
        <v>7.2350230414746544E-2</v>
      </c>
      <c r="AK150" s="730">
        <v>18</v>
      </c>
      <c r="AL150" s="736">
        <v>39038</v>
      </c>
      <c r="AM150" s="729">
        <v>16</v>
      </c>
      <c r="AN150" s="737">
        <v>0.46100000000000002</v>
      </c>
      <c r="AO150" s="729">
        <v>12</v>
      </c>
      <c r="AP150" s="728">
        <v>6.5000000000000002E-2</v>
      </c>
      <c r="AQ150" s="738">
        <v>14</v>
      </c>
      <c r="AR150" s="728">
        <v>0.70799999999999996</v>
      </c>
      <c r="AS150" s="729">
        <v>8</v>
      </c>
      <c r="AT150" s="728">
        <v>2.6000000000000002E-2</v>
      </c>
      <c r="AU150" s="730">
        <v>8</v>
      </c>
      <c r="AV150" s="734">
        <v>0.254</v>
      </c>
      <c r="AW150" s="730">
        <v>7</v>
      </c>
      <c r="AX150" s="728">
        <v>0.29499999999999998</v>
      </c>
      <c r="AY150" s="730">
        <v>6</v>
      </c>
      <c r="AZ150" s="728">
        <v>9.6000000000000002E-2</v>
      </c>
      <c r="BA150" s="730">
        <v>7</v>
      </c>
      <c r="BB150" s="733">
        <v>5.9000000000000004E-2</v>
      </c>
      <c r="BC150" s="730">
        <v>2</v>
      </c>
      <c r="BD150" s="6"/>
    </row>
    <row r="151" spans="7:56" s="704" customFormat="1" ht="15">
      <c r="G151" s="1546"/>
      <c r="W151" s="6"/>
      <c r="X151" s="87"/>
      <c r="Y151" s="87"/>
      <c r="Z151" s="739"/>
      <c r="AA151" s="739"/>
      <c r="AB151" s="743"/>
      <c r="AC151" s="108"/>
      <c r="AD151" s="108"/>
      <c r="AE151" s="770" t="s">
        <v>1093</v>
      </c>
      <c r="AF151" s="771" t="s">
        <v>1450</v>
      </c>
      <c r="AG151" s="108"/>
      <c r="AH151" s="454" t="s">
        <v>432</v>
      </c>
      <c r="AI151" s="455">
        <v>9503</v>
      </c>
      <c r="AJ151" s="735">
        <v>7.2350230414746544E-2</v>
      </c>
      <c r="AK151" s="730">
        <v>18</v>
      </c>
      <c r="AL151" s="736">
        <v>39038</v>
      </c>
      <c r="AM151" s="729">
        <v>16</v>
      </c>
      <c r="AN151" s="737">
        <v>0.46100000000000002</v>
      </c>
      <c r="AO151" s="729">
        <v>12</v>
      </c>
      <c r="AP151" s="728">
        <v>6.5000000000000002E-2</v>
      </c>
      <c r="AQ151" s="738">
        <v>14</v>
      </c>
      <c r="AR151" s="728">
        <v>0.75</v>
      </c>
      <c r="AS151" s="729">
        <v>8</v>
      </c>
      <c r="AT151" s="728">
        <v>0</v>
      </c>
      <c r="AU151" s="730">
        <v>10</v>
      </c>
      <c r="AV151" s="734">
        <v>0.255</v>
      </c>
      <c r="AW151" s="730">
        <v>7</v>
      </c>
      <c r="AX151" s="728">
        <v>0.18600000000000003</v>
      </c>
      <c r="AY151" s="730">
        <v>7</v>
      </c>
      <c r="AZ151" s="728">
        <v>0.10099999999999999</v>
      </c>
      <c r="BA151" s="730">
        <v>7</v>
      </c>
      <c r="BB151" s="733">
        <v>7.6999999999999999E-2</v>
      </c>
      <c r="BC151" s="730">
        <v>3</v>
      </c>
      <c r="BD151" s="6"/>
    </row>
    <row r="152" spans="7:56" s="704" customFormat="1" ht="15">
      <c r="G152" s="1546"/>
      <c r="W152" s="6"/>
      <c r="X152" s="87"/>
      <c r="Y152" s="87"/>
      <c r="Z152" s="739"/>
      <c r="AA152" s="739"/>
      <c r="AB152" s="743"/>
      <c r="AC152" s="108"/>
      <c r="AD152" s="108"/>
      <c r="AE152" s="770" t="s">
        <v>2519</v>
      </c>
      <c r="AF152" s="771" t="s">
        <v>653</v>
      </c>
      <c r="AG152" s="108"/>
      <c r="AH152" s="454" t="s">
        <v>432</v>
      </c>
      <c r="AI152" s="455">
        <v>9504</v>
      </c>
      <c r="AJ152" s="735">
        <v>7.2350230414746544E-2</v>
      </c>
      <c r="AK152" s="730">
        <v>18</v>
      </c>
      <c r="AL152" s="736">
        <v>39038</v>
      </c>
      <c r="AM152" s="729">
        <v>16</v>
      </c>
      <c r="AN152" s="737">
        <v>0.46100000000000002</v>
      </c>
      <c r="AO152" s="729">
        <v>12</v>
      </c>
      <c r="AP152" s="728">
        <v>6.5000000000000002E-2</v>
      </c>
      <c r="AQ152" s="738">
        <v>14</v>
      </c>
      <c r="AR152" s="728">
        <v>0.82200000000000006</v>
      </c>
      <c r="AS152" s="729">
        <v>9</v>
      </c>
      <c r="AT152" s="728">
        <v>1.6E-2</v>
      </c>
      <c r="AU152" s="730">
        <v>9</v>
      </c>
      <c r="AV152" s="734">
        <v>0.13900000000000001</v>
      </c>
      <c r="AW152" s="730">
        <v>9</v>
      </c>
      <c r="AX152" s="728">
        <v>0.107</v>
      </c>
      <c r="AY152" s="730">
        <v>9</v>
      </c>
      <c r="AZ152" s="728">
        <v>8.4000000000000005E-2</v>
      </c>
      <c r="BA152" s="730">
        <v>8</v>
      </c>
      <c r="BB152" s="733">
        <v>0.16600000000000001</v>
      </c>
      <c r="BC152" s="730">
        <v>5</v>
      </c>
      <c r="BD152" s="6"/>
    </row>
    <row r="153" spans="7:56" s="704" customFormat="1" ht="15">
      <c r="G153" s="1546"/>
      <c r="W153" s="6"/>
      <c r="X153" s="87"/>
      <c r="Y153" s="87"/>
      <c r="Z153" s="739"/>
      <c r="AA153" s="739"/>
      <c r="AB153" s="743"/>
      <c r="AC153" s="108"/>
      <c r="AD153" s="108"/>
      <c r="AE153" s="770" t="s">
        <v>1094</v>
      </c>
      <c r="AF153" s="771" t="s">
        <v>653</v>
      </c>
      <c r="AG153" s="108"/>
      <c r="AH153" s="454" t="s">
        <v>432</v>
      </c>
      <c r="AI153" s="455">
        <v>9505</v>
      </c>
      <c r="AJ153" s="735">
        <v>7.2350230414746544E-2</v>
      </c>
      <c r="AK153" s="730">
        <v>18</v>
      </c>
      <c r="AL153" s="736">
        <v>39038</v>
      </c>
      <c r="AM153" s="729">
        <v>16</v>
      </c>
      <c r="AN153" s="737">
        <v>0.46100000000000002</v>
      </c>
      <c r="AO153" s="729">
        <v>12</v>
      </c>
      <c r="AP153" s="728">
        <v>6.5000000000000002E-2</v>
      </c>
      <c r="AQ153" s="738">
        <v>14</v>
      </c>
      <c r="AR153" s="728">
        <v>0.79</v>
      </c>
      <c r="AS153" s="729">
        <v>9</v>
      </c>
      <c r="AT153" s="728">
        <v>1.8000000000000002E-2</v>
      </c>
      <c r="AU153" s="730">
        <v>9</v>
      </c>
      <c r="AV153" s="734">
        <v>0.13500000000000001</v>
      </c>
      <c r="AW153" s="730">
        <v>9</v>
      </c>
      <c r="AX153" s="728">
        <v>0.19899999999999998</v>
      </c>
      <c r="AY153" s="730">
        <v>7</v>
      </c>
      <c r="AZ153" s="728">
        <v>1.3999999999999999E-2</v>
      </c>
      <c r="BA153" s="730">
        <v>10</v>
      </c>
      <c r="BB153" s="733">
        <v>0.122</v>
      </c>
      <c r="BC153" s="730">
        <v>4</v>
      </c>
      <c r="BD153" s="6"/>
    </row>
    <row r="154" spans="7:56" s="704" customFormat="1" ht="15">
      <c r="G154" s="1546"/>
      <c r="W154" s="6"/>
      <c r="X154" s="87"/>
      <c r="Y154" s="87"/>
      <c r="Z154" s="739"/>
      <c r="AA154" s="739"/>
      <c r="AB154" s="743"/>
      <c r="AC154" s="108"/>
      <c r="AD154" s="108"/>
      <c r="AE154" s="770" t="s">
        <v>1095</v>
      </c>
      <c r="AF154" s="771" t="s">
        <v>1450</v>
      </c>
      <c r="AG154" s="108"/>
      <c r="AH154" s="454" t="s">
        <v>432</v>
      </c>
      <c r="AI154" s="455">
        <v>9506</v>
      </c>
      <c r="AJ154" s="735">
        <v>7.2350230414746544E-2</v>
      </c>
      <c r="AK154" s="730">
        <v>18</v>
      </c>
      <c r="AL154" s="736">
        <v>39038</v>
      </c>
      <c r="AM154" s="729">
        <v>16</v>
      </c>
      <c r="AN154" s="737">
        <v>0.46100000000000002</v>
      </c>
      <c r="AO154" s="729">
        <v>12</v>
      </c>
      <c r="AP154" s="728">
        <v>6.5000000000000002E-2</v>
      </c>
      <c r="AQ154" s="738">
        <v>14</v>
      </c>
      <c r="AR154" s="728">
        <v>0.58099999999999996</v>
      </c>
      <c r="AS154" s="729">
        <v>7</v>
      </c>
      <c r="AT154" s="728">
        <v>0</v>
      </c>
      <c r="AU154" s="730">
        <v>10</v>
      </c>
      <c r="AV154" s="734">
        <v>0.13</v>
      </c>
      <c r="AW154" s="730">
        <v>9</v>
      </c>
      <c r="AX154" s="728">
        <v>9.3000000000000013E-2</v>
      </c>
      <c r="AY154" s="730">
        <v>9</v>
      </c>
      <c r="AZ154" s="728">
        <v>3.6000000000000004E-2</v>
      </c>
      <c r="BA154" s="730">
        <v>9</v>
      </c>
      <c r="BB154" s="733">
        <v>0.255</v>
      </c>
      <c r="BC154" s="730">
        <v>7</v>
      </c>
      <c r="BD154" s="6"/>
    </row>
    <row r="155" spans="7:56" s="704" customFormat="1" ht="15">
      <c r="G155" s="1546"/>
      <c r="W155" s="6"/>
      <c r="X155" s="87"/>
      <c r="Y155" s="87"/>
      <c r="Z155" s="739"/>
      <c r="AA155" s="739"/>
      <c r="AB155" s="743"/>
      <c r="AC155" s="108"/>
      <c r="AD155" s="108"/>
      <c r="AE155" s="770" t="s">
        <v>1096</v>
      </c>
      <c r="AF155" s="771" t="s">
        <v>652</v>
      </c>
      <c r="AG155" s="108"/>
      <c r="AH155" s="454" t="s">
        <v>432</v>
      </c>
      <c r="AI155" s="455">
        <v>9507</v>
      </c>
      <c r="AJ155" s="735">
        <v>7.2350230414746544E-2</v>
      </c>
      <c r="AK155" s="730">
        <v>18</v>
      </c>
      <c r="AL155" s="736">
        <v>39038</v>
      </c>
      <c r="AM155" s="729">
        <v>16</v>
      </c>
      <c r="AN155" s="737">
        <v>0.46100000000000002</v>
      </c>
      <c r="AO155" s="729">
        <v>12</v>
      </c>
      <c r="AP155" s="728">
        <v>6.5000000000000002E-2</v>
      </c>
      <c r="AQ155" s="738">
        <v>14</v>
      </c>
      <c r="AR155" s="728">
        <v>0.67900000000000005</v>
      </c>
      <c r="AS155" s="729">
        <v>8</v>
      </c>
      <c r="AT155" s="728">
        <v>0</v>
      </c>
      <c r="AU155" s="730">
        <v>10</v>
      </c>
      <c r="AV155" s="734">
        <v>0.17899999999999999</v>
      </c>
      <c r="AW155" s="730">
        <v>8</v>
      </c>
      <c r="AX155" s="728">
        <v>0.10300000000000001</v>
      </c>
      <c r="AY155" s="730">
        <v>9</v>
      </c>
      <c r="AZ155" s="728">
        <v>8.199999999999999E-2</v>
      </c>
      <c r="BA155" s="730">
        <v>8</v>
      </c>
      <c r="BB155" s="733">
        <v>0.114</v>
      </c>
      <c r="BC155" s="730">
        <v>3</v>
      </c>
      <c r="BD155" s="6"/>
    </row>
    <row r="156" spans="7:56" s="704" customFormat="1" ht="15">
      <c r="G156" s="1546"/>
      <c r="W156" s="6"/>
      <c r="X156" s="87"/>
      <c r="Y156" s="87"/>
      <c r="Z156" s="739"/>
      <c r="AA156" s="739"/>
      <c r="AB156" s="743"/>
      <c r="AC156" s="108"/>
      <c r="AD156" s="108"/>
      <c r="AE156" s="770" t="s">
        <v>2776</v>
      </c>
      <c r="AF156" s="771" t="s">
        <v>653</v>
      </c>
      <c r="AG156" s="108"/>
      <c r="AH156" s="454" t="s">
        <v>433</v>
      </c>
      <c r="AI156" s="455">
        <v>9682</v>
      </c>
      <c r="AJ156" s="724">
        <v>2.1005509641873279E-2</v>
      </c>
      <c r="AK156" s="725">
        <v>27</v>
      </c>
      <c r="AL156" s="726">
        <v>40099</v>
      </c>
      <c r="AM156" s="725">
        <v>16</v>
      </c>
      <c r="AN156" s="727">
        <v>0.44</v>
      </c>
      <c r="AO156" s="725">
        <v>10</v>
      </c>
      <c r="AP156" s="727">
        <v>3.5000000000000003E-2</v>
      </c>
      <c r="AQ156" s="725">
        <v>18</v>
      </c>
      <c r="AR156" s="728">
        <v>0.76500000000000001</v>
      </c>
      <c r="AS156" s="729">
        <v>9</v>
      </c>
      <c r="AT156" s="728">
        <v>3.4000000000000002E-2</v>
      </c>
      <c r="AU156" s="730">
        <v>7</v>
      </c>
      <c r="AV156" s="731">
        <v>0.111</v>
      </c>
      <c r="AW156" s="730">
        <v>9</v>
      </c>
      <c r="AX156" s="728">
        <v>0.109</v>
      </c>
      <c r="AY156" s="730">
        <v>9</v>
      </c>
      <c r="AZ156" s="728">
        <v>3.5000000000000003E-2</v>
      </c>
      <c r="BA156" s="730">
        <v>9</v>
      </c>
      <c r="BB156" s="733">
        <v>8.1000000000000003E-2</v>
      </c>
      <c r="BC156" s="730">
        <v>3</v>
      </c>
      <c r="BD156" s="6"/>
    </row>
    <row r="157" spans="7:56" s="704" customFormat="1" ht="15">
      <c r="G157" s="1546"/>
      <c r="W157" s="6"/>
      <c r="X157" s="87"/>
      <c r="Y157" s="87"/>
      <c r="Z157" s="739"/>
      <c r="AA157" s="739"/>
      <c r="AB157" s="743"/>
      <c r="AC157" s="108"/>
      <c r="AD157" s="108"/>
      <c r="AE157" s="770" t="s">
        <v>1097</v>
      </c>
      <c r="AF157" s="771" t="s">
        <v>1450</v>
      </c>
      <c r="AG157" s="108"/>
      <c r="AH157" s="454" t="s">
        <v>433</v>
      </c>
      <c r="AI157" s="455">
        <v>9683</v>
      </c>
      <c r="AJ157" s="724">
        <v>2.1005509641873279E-2</v>
      </c>
      <c r="AK157" s="725">
        <v>27</v>
      </c>
      <c r="AL157" s="726">
        <v>40099</v>
      </c>
      <c r="AM157" s="725">
        <v>16</v>
      </c>
      <c r="AN157" s="727">
        <v>0.44</v>
      </c>
      <c r="AO157" s="725">
        <v>10</v>
      </c>
      <c r="AP157" s="727">
        <v>3.5000000000000003E-2</v>
      </c>
      <c r="AQ157" s="725">
        <v>18</v>
      </c>
      <c r="AR157" s="728">
        <v>0.69900000000000007</v>
      </c>
      <c r="AS157" s="729">
        <v>8</v>
      </c>
      <c r="AT157" s="728">
        <v>4.7E-2</v>
      </c>
      <c r="AU157" s="730">
        <v>6</v>
      </c>
      <c r="AV157" s="731">
        <v>0.22</v>
      </c>
      <c r="AW157" s="730">
        <v>8</v>
      </c>
      <c r="AX157" s="728">
        <v>0.128</v>
      </c>
      <c r="AY157" s="730">
        <v>8</v>
      </c>
      <c r="AZ157" s="728">
        <v>9.6000000000000002E-2</v>
      </c>
      <c r="BA157" s="730">
        <v>7</v>
      </c>
      <c r="BB157" s="733">
        <v>6.3E-2</v>
      </c>
      <c r="BC157" s="730">
        <v>2</v>
      </c>
      <c r="BD157" s="6"/>
    </row>
    <row r="158" spans="7:56" s="704" customFormat="1" ht="15">
      <c r="G158" s="1546"/>
      <c r="W158" s="6"/>
      <c r="X158" s="87"/>
      <c r="Y158" s="87"/>
      <c r="Z158" s="739"/>
      <c r="AA158" s="739"/>
      <c r="AB158" s="743"/>
      <c r="AC158" s="108"/>
      <c r="AD158" s="108"/>
      <c r="AE158" s="770" t="s">
        <v>1098</v>
      </c>
      <c r="AF158" s="771" t="s">
        <v>1450</v>
      </c>
      <c r="AG158" s="108"/>
      <c r="AH158" s="454" t="s">
        <v>433</v>
      </c>
      <c r="AI158" s="455">
        <v>9684</v>
      </c>
      <c r="AJ158" s="724">
        <v>2.1005509641873279E-2</v>
      </c>
      <c r="AK158" s="725">
        <v>27</v>
      </c>
      <c r="AL158" s="726">
        <v>40099</v>
      </c>
      <c r="AM158" s="725">
        <v>16</v>
      </c>
      <c r="AN158" s="727">
        <v>0.44</v>
      </c>
      <c r="AO158" s="725">
        <v>10</v>
      </c>
      <c r="AP158" s="727">
        <v>3.5000000000000003E-2</v>
      </c>
      <c r="AQ158" s="725">
        <v>18</v>
      </c>
      <c r="AR158" s="728">
        <v>0.623</v>
      </c>
      <c r="AS158" s="729">
        <v>7</v>
      </c>
      <c r="AT158" s="728">
        <v>0.02</v>
      </c>
      <c r="AU158" s="730">
        <v>9</v>
      </c>
      <c r="AV158" s="731">
        <v>0.254</v>
      </c>
      <c r="AW158" s="730">
        <v>7</v>
      </c>
      <c r="AX158" s="728">
        <v>0.19800000000000001</v>
      </c>
      <c r="AY158" s="730">
        <v>7</v>
      </c>
      <c r="AZ158" s="728">
        <v>4.7E-2</v>
      </c>
      <c r="BA158" s="730">
        <v>9</v>
      </c>
      <c r="BB158" s="733">
        <v>8.1000000000000003E-2</v>
      </c>
      <c r="BC158" s="730">
        <v>3</v>
      </c>
      <c r="BD158" s="6"/>
    </row>
    <row r="159" spans="7:56" s="704" customFormat="1" ht="15">
      <c r="G159" s="1546"/>
      <c r="W159" s="6"/>
      <c r="X159" s="87"/>
      <c r="Y159" s="87"/>
      <c r="Z159" s="739"/>
      <c r="AA159" s="739"/>
      <c r="AB159" s="743"/>
      <c r="AC159" s="108"/>
      <c r="AD159" s="108"/>
      <c r="AE159" s="770" t="s">
        <v>1099</v>
      </c>
      <c r="AF159" s="771" t="s">
        <v>653</v>
      </c>
      <c r="AG159" s="108"/>
      <c r="AH159" s="454" t="s">
        <v>433</v>
      </c>
      <c r="AI159" s="455">
        <v>9685</v>
      </c>
      <c r="AJ159" s="724">
        <v>2.1005509641873279E-2</v>
      </c>
      <c r="AK159" s="725">
        <v>27</v>
      </c>
      <c r="AL159" s="726">
        <v>40099</v>
      </c>
      <c r="AM159" s="725">
        <v>16</v>
      </c>
      <c r="AN159" s="727">
        <v>0.44</v>
      </c>
      <c r="AO159" s="725">
        <v>10</v>
      </c>
      <c r="AP159" s="727">
        <v>3.5000000000000003E-2</v>
      </c>
      <c r="AQ159" s="725">
        <v>18</v>
      </c>
      <c r="AR159" s="728">
        <v>0.74900000000000011</v>
      </c>
      <c r="AS159" s="729">
        <v>8</v>
      </c>
      <c r="AT159" s="728">
        <v>0.01</v>
      </c>
      <c r="AU159" s="730">
        <v>10</v>
      </c>
      <c r="AV159" s="731">
        <v>0.17600000000000002</v>
      </c>
      <c r="AW159" s="730">
        <v>8</v>
      </c>
      <c r="AX159" s="728">
        <v>0.13300000000000001</v>
      </c>
      <c r="AY159" s="730">
        <v>8</v>
      </c>
      <c r="AZ159" s="728">
        <v>8.3000000000000004E-2</v>
      </c>
      <c r="BA159" s="730">
        <v>8</v>
      </c>
      <c r="BB159" s="733">
        <v>8.199999999999999E-2</v>
      </c>
      <c r="BC159" s="730">
        <v>3</v>
      </c>
      <c r="BD159" s="6"/>
    </row>
    <row r="160" spans="7:56" s="704" customFormat="1" ht="15">
      <c r="G160" s="1546"/>
      <c r="W160" s="6"/>
      <c r="X160" s="87"/>
      <c r="Y160" s="87"/>
      <c r="Z160" s="739"/>
      <c r="AA160" s="739"/>
      <c r="AB160" s="743"/>
      <c r="AC160" s="108"/>
      <c r="AD160" s="108"/>
      <c r="AE160" s="770" t="s">
        <v>1100</v>
      </c>
      <c r="AF160" s="771" t="s">
        <v>652</v>
      </c>
      <c r="AG160" s="108"/>
      <c r="AH160" s="454" t="s">
        <v>433</v>
      </c>
      <c r="AI160" s="455">
        <v>9686</v>
      </c>
      <c r="AJ160" s="724">
        <v>2.1005509641873279E-2</v>
      </c>
      <c r="AK160" s="725">
        <v>27</v>
      </c>
      <c r="AL160" s="726">
        <v>40099</v>
      </c>
      <c r="AM160" s="725">
        <v>16</v>
      </c>
      <c r="AN160" s="727">
        <v>0.44</v>
      </c>
      <c r="AO160" s="725">
        <v>10</v>
      </c>
      <c r="AP160" s="727">
        <v>3.5000000000000003E-2</v>
      </c>
      <c r="AQ160" s="725">
        <v>18</v>
      </c>
      <c r="AR160" s="728">
        <v>0.67400000000000004</v>
      </c>
      <c r="AS160" s="729">
        <v>8</v>
      </c>
      <c r="AT160" s="728">
        <v>1.2E-2</v>
      </c>
      <c r="AU160" s="730">
        <v>9</v>
      </c>
      <c r="AV160" s="731">
        <v>0.24100000000000002</v>
      </c>
      <c r="AW160" s="730">
        <v>7</v>
      </c>
      <c r="AX160" s="728">
        <v>0.19600000000000001</v>
      </c>
      <c r="AY160" s="730">
        <v>7</v>
      </c>
      <c r="AZ160" s="728">
        <v>2.5000000000000001E-2</v>
      </c>
      <c r="BA160" s="730">
        <v>10</v>
      </c>
      <c r="BB160" s="733">
        <v>6.3E-2</v>
      </c>
      <c r="BC160" s="730">
        <v>2</v>
      </c>
      <c r="BD160" s="6"/>
    </row>
    <row r="161" spans="7:56" s="704" customFormat="1" ht="15">
      <c r="G161" s="1546"/>
      <c r="W161" s="6"/>
      <c r="X161" s="87"/>
      <c r="Y161" s="87"/>
      <c r="Z161" s="739"/>
      <c r="AA161" s="739"/>
      <c r="AB161" s="743"/>
      <c r="AC161" s="108"/>
      <c r="AD161" s="108"/>
      <c r="AE161" s="770" t="s">
        <v>1101</v>
      </c>
      <c r="AF161" s="771" t="s">
        <v>1450</v>
      </c>
      <c r="AG161" s="108"/>
      <c r="AH161" s="454" t="s">
        <v>434</v>
      </c>
      <c r="AI161" s="455">
        <v>206</v>
      </c>
      <c r="AJ161" s="724">
        <v>3.1777277840269964E-2</v>
      </c>
      <c r="AK161" s="725">
        <v>24</v>
      </c>
      <c r="AL161" s="726">
        <v>45580</v>
      </c>
      <c r="AM161" s="725">
        <v>14</v>
      </c>
      <c r="AN161" s="727">
        <v>0.39899999999999997</v>
      </c>
      <c r="AO161" s="725">
        <v>8</v>
      </c>
      <c r="AP161" s="727">
        <v>8.8000000000000009E-2</v>
      </c>
      <c r="AQ161" s="725">
        <v>12</v>
      </c>
      <c r="AR161" s="728">
        <v>0.68500000000000005</v>
      </c>
      <c r="AS161" s="729">
        <v>8</v>
      </c>
      <c r="AT161" s="728">
        <v>0</v>
      </c>
      <c r="AU161" s="730">
        <v>10</v>
      </c>
      <c r="AV161" s="731">
        <v>9.6000000000000002E-2</v>
      </c>
      <c r="AW161" s="730">
        <v>9</v>
      </c>
      <c r="AX161" s="728">
        <v>7.2999999999999995E-2</v>
      </c>
      <c r="AY161" s="730">
        <v>9</v>
      </c>
      <c r="AZ161" s="728">
        <v>0.03</v>
      </c>
      <c r="BA161" s="730">
        <v>9</v>
      </c>
      <c r="BB161" s="733">
        <v>0.215</v>
      </c>
      <c r="BC161" s="730">
        <v>6</v>
      </c>
      <c r="BD161" s="6"/>
    </row>
    <row r="162" spans="7:56" s="704" customFormat="1" ht="15">
      <c r="G162" s="1546"/>
      <c r="W162" s="6"/>
      <c r="X162" s="87"/>
      <c r="Y162" s="87"/>
      <c r="Z162" s="739"/>
      <c r="AA162" s="739"/>
      <c r="AB162" s="743"/>
      <c r="AC162" s="108"/>
      <c r="AD162" s="108"/>
      <c r="AE162" s="770" t="s">
        <v>1102</v>
      </c>
      <c r="AF162" s="771" t="s">
        <v>1450</v>
      </c>
      <c r="AG162" s="108"/>
      <c r="AH162" s="454" t="s">
        <v>434</v>
      </c>
      <c r="AI162" s="455">
        <v>207</v>
      </c>
      <c r="AJ162" s="724">
        <v>3.1777277840269964E-2</v>
      </c>
      <c r="AK162" s="725">
        <v>24</v>
      </c>
      <c r="AL162" s="726">
        <v>45580</v>
      </c>
      <c r="AM162" s="725">
        <v>14</v>
      </c>
      <c r="AN162" s="727">
        <v>0.39899999999999997</v>
      </c>
      <c r="AO162" s="725">
        <v>8</v>
      </c>
      <c r="AP162" s="727">
        <v>8.8000000000000009E-2</v>
      </c>
      <c r="AQ162" s="725">
        <v>12</v>
      </c>
      <c r="AR162" s="728">
        <v>0.75900000000000001</v>
      </c>
      <c r="AS162" s="729">
        <v>8</v>
      </c>
      <c r="AT162" s="728">
        <v>0</v>
      </c>
      <c r="AU162" s="730">
        <v>10</v>
      </c>
      <c r="AV162" s="731">
        <v>7.2000000000000008E-2</v>
      </c>
      <c r="AW162" s="730">
        <v>10</v>
      </c>
      <c r="AX162" s="728">
        <v>7.2000000000000008E-2</v>
      </c>
      <c r="AY162" s="730">
        <v>9</v>
      </c>
      <c r="AZ162" s="728">
        <v>5.7999999999999996E-2</v>
      </c>
      <c r="BA162" s="730">
        <v>9</v>
      </c>
      <c r="BB162" s="733">
        <v>0.14300000000000002</v>
      </c>
      <c r="BC162" s="730">
        <v>4</v>
      </c>
      <c r="BD162" s="6"/>
    </row>
    <row r="163" spans="7:56" s="704" customFormat="1" ht="15">
      <c r="G163" s="1546"/>
      <c r="W163" s="6"/>
      <c r="X163" s="87"/>
      <c r="Y163" s="87"/>
      <c r="Z163" s="739"/>
      <c r="AA163" s="739"/>
      <c r="AB163" s="743"/>
      <c r="AC163" s="108"/>
      <c r="AD163" s="108"/>
      <c r="AE163" s="770" t="s">
        <v>1103</v>
      </c>
      <c r="AF163" s="771" t="s">
        <v>1450</v>
      </c>
      <c r="AG163" s="108"/>
      <c r="AH163" s="454" t="s">
        <v>434</v>
      </c>
      <c r="AI163" s="455">
        <v>209</v>
      </c>
      <c r="AJ163" s="724">
        <v>3.1777277840269964E-2</v>
      </c>
      <c r="AK163" s="725">
        <v>24</v>
      </c>
      <c r="AL163" s="726">
        <v>45580</v>
      </c>
      <c r="AM163" s="725">
        <v>14</v>
      </c>
      <c r="AN163" s="727">
        <v>0.39899999999999997</v>
      </c>
      <c r="AO163" s="725">
        <v>8</v>
      </c>
      <c r="AP163" s="727">
        <v>8.8000000000000009E-2</v>
      </c>
      <c r="AQ163" s="725">
        <v>12</v>
      </c>
      <c r="AR163" s="728">
        <v>0.67099999999999993</v>
      </c>
      <c r="AS163" s="729">
        <v>8</v>
      </c>
      <c r="AT163" s="728">
        <v>1.2E-2</v>
      </c>
      <c r="AU163" s="730">
        <v>9</v>
      </c>
      <c r="AV163" s="731">
        <v>0.17499999999999999</v>
      </c>
      <c r="AW163" s="730">
        <v>8</v>
      </c>
      <c r="AX163" s="728">
        <v>0.24399999999999999</v>
      </c>
      <c r="AY163" s="730">
        <v>6</v>
      </c>
      <c r="AZ163" s="728">
        <v>8.5999999999999993E-2</v>
      </c>
      <c r="BA163" s="730">
        <v>8</v>
      </c>
      <c r="BB163" s="733">
        <v>6.6000000000000003E-2</v>
      </c>
      <c r="BC163" s="730">
        <v>2</v>
      </c>
      <c r="BD163" s="6"/>
    </row>
    <row r="164" spans="7:56" s="704" customFormat="1" ht="15">
      <c r="G164" s="1546"/>
      <c r="W164" s="6"/>
      <c r="X164" s="87"/>
      <c r="Y164" s="87"/>
      <c r="Z164" s="739"/>
      <c r="AA164" s="739"/>
      <c r="AB164" s="743"/>
      <c r="AC164" s="108"/>
      <c r="AD164" s="108"/>
      <c r="AE164" s="770" t="s">
        <v>1104</v>
      </c>
      <c r="AF164" s="771" t="s">
        <v>1450</v>
      </c>
      <c r="AG164" s="108"/>
      <c r="AH164" s="454" t="s">
        <v>434</v>
      </c>
      <c r="AI164" s="455">
        <v>211</v>
      </c>
      <c r="AJ164" s="724">
        <v>3.1777277840269964E-2</v>
      </c>
      <c r="AK164" s="725">
        <v>24</v>
      </c>
      <c r="AL164" s="726">
        <v>45580</v>
      </c>
      <c r="AM164" s="725">
        <v>14</v>
      </c>
      <c r="AN164" s="727">
        <v>0.39899999999999997</v>
      </c>
      <c r="AO164" s="725">
        <v>8</v>
      </c>
      <c r="AP164" s="727">
        <v>8.8000000000000009E-2</v>
      </c>
      <c r="AQ164" s="725">
        <v>12</v>
      </c>
      <c r="AR164" s="728">
        <v>0.86599999999999999</v>
      </c>
      <c r="AS164" s="729">
        <v>10</v>
      </c>
      <c r="AT164" s="728">
        <v>1.7000000000000001E-2</v>
      </c>
      <c r="AU164" s="730">
        <v>9</v>
      </c>
      <c r="AV164" s="731">
        <v>9.3000000000000013E-2</v>
      </c>
      <c r="AW164" s="730">
        <v>9</v>
      </c>
      <c r="AX164" s="728">
        <v>0.12300000000000001</v>
      </c>
      <c r="AY164" s="730">
        <v>8</v>
      </c>
      <c r="AZ164" s="728">
        <v>0.01</v>
      </c>
      <c r="BA164" s="730">
        <v>10</v>
      </c>
      <c r="BB164" s="733">
        <v>0.17</v>
      </c>
      <c r="BC164" s="730">
        <v>5</v>
      </c>
      <c r="BD164" s="6"/>
    </row>
    <row r="165" spans="7:56" s="704" customFormat="1" ht="15">
      <c r="G165" s="1546"/>
      <c r="W165" s="6"/>
      <c r="X165" s="87"/>
      <c r="Y165" s="87"/>
      <c r="Z165" s="739"/>
      <c r="AA165" s="739"/>
      <c r="AB165" s="743"/>
      <c r="AC165" s="108"/>
      <c r="AD165" s="108"/>
      <c r="AE165" s="770" t="s">
        <v>1105</v>
      </c>
      <c r="AF165" s="771" t="s">
        <v>1450</v>
      </c>
      <c r="AG165" s="108"/>
      <c r="AH165" s="454" t="s">
        <v>434</v>
      </c>
      <c r="AI165" s="455">
        <v>212</v>
      </c>
      <c r="AJ165" s="724">
        <v>3.1777277840269964E-2</v>
      </c>
      <c r="AK165" s="725">
        <v>24</v>
      </c>
      <c r="AL165" s="726">
        <v>45580</v>
      </c>
      <c r="AM165" s="725">
        <v>14</v>
      </c>
      <c r="AN165" s="727">
        <v>0.39899999999999997</v>
      </c>
      <c r="AO165" s="725">
        <v>8</v>
      </c>
      <c r="AP165" s="727">
        <v>8.8000000000000009E-2</v>
      </c>
      <c r="AQ165" s="725">
        <v>12</v>
      </c>
      <c r="AR165" s="728">
        <v>0.82499999999999996</v>
      </c>
      <c r="AS165" s="729">
        <v>9</v>
      </c>
      <c r="AT165" s="728">
        <v>0</v>
      </c>
      <c r="AU165" s="730">
        <v>10</v>
      </c>
      <c r="AV165" s="731">
        <v>0.125</v>
      </c>
      <c r="AW165" s="730">
        <v>9</v>
      </c>
      <c r="AX165" s="728">
        <v>0.14000000000000001</v>
      </c>
      <c r="AY165" s="730">
        <v>8</v>
      </c>
      <c r="AZ165" s="728">
        <v>7.2000000000000008E-2</v>
      </c>
      <c r="BA165" s="730">
        <v>8</v>
      </c>
      <c r="BB165" s="733">
        <v>6.8000000000000005E-2</v>
      </c>
      <c r="BC165" s="730">
        <v>2</v>
      </c>
      <c r="BD165" s="6"/>
    </row>
    <row r="166" spans="7:56" s="704" customFormat="1" ht="15">
      <c r="G166" s="1546"/>
      <c r="W166" s="6"/>
      <c r="X166" s="87"/>
      <c r="Y166" s="87"/>
      <c r="Z166" s="739"/>
      <c r="AA166" s="739"/>
      <c r="AB166" s="743"/>
      <c r="AC166" s="108"/>
      <c r="AD166" s="108"/>
      <c r="AE166" s="770" t="s">
        <v>2777</v>
      </c>
      <c r="AF166" s="771" t="s">
        <v>653</v>
      </c>
      <c r="AG166" s="108"/>
      <c r="AH166" s="454" t="s">
        <v>434</v>
      </c>
      <c r="AI166" s="455">
        <v>213</v>
      </c>
      <c r="AJ166" s="724">
        <v>3.1777277840269964E-2</v>
      </c>
      <c r="AK166" s="725">
        <v>24</v>
      </c>
      <c r="AL166" s="726">
        <v>45580</v>
      </c>
      <c r="AM166" s="725">
        <v>14</v>
      </c>
      <c r="AN166" s="727">
        <v>0.39899999999999997</v>
      </c>
      <c r="AO166" s="725">
        <v>8</v>
      </c>
      <c r="AP166" s="727">
        <v>8.8000000000000009E-2</v>
      </c>
      <c r="AQ166" s="725">
        <v>12</v>
      </c>
      <c r="AR166" s="728">
        <v>0.56299999999999994</v>
      </c>
      <c r="AS166" s="729">
        <v>6</v>
      </c>
      <c r="AT166" s="728">
        <v>4.4000000000000004E-2</v>
      </c>
      <c r="AU166" s="730">
        <v>6</v>
      </c>
      <c r="AV166" s="731">
        <v>0.26600000000000001</v>
      </c>
      <c r="AW166" s="730">
        <v>7</v>
      </c>
      <c r="AX166" s="728">
        <v>0.3</v>
      </c>
      <c r="AY166" s="730">
        <v>6</v>
      </c>
      <c r="AZ166" s="728">
        <v>0.13200000000000001</v>
      </c>
      <c r="BA166" s="730">
        <v>6</v>
      </c>
      <c r="BB166" s="733">
        <v>0.128</v>
      </c>
      <c r="BC166" s="730">
        <v>4</v>
      </c>
      <c r="BD166" s="6"/>
    </row>
    <row r="167" spans="7:56" s="704" customFormat="1" ht="15">
      <c r="G167" s="1546"/>
      <c r="W167" s="6"/>
      <c r="X167" s="87"/>
      <c r="Y167" s="87"/>
      <c r="Z167" s="739"/>
      <c r="AA167" s="739"/>
      <c r="AB167" s="743"/>
      <c r="AC167" s="108"/>
      <c r="AD167" s="108"/>
      <c r="AE167" s="770" t="s">
        <v>2520</v>
      </c>
      <c r="AF167" s="771" t="s">
        <v>1450</v>
      </c>
      <c r="AG167" s="108"/>
      <c r="AH167" s="454" t="s">
        <v>434</v>
      </c>
      <c r="AI167" s="455">
        <v>214</v>
      </c>
      <c r="AJ167" s="724">
        <v>3.1777277840269964E-2</v>
      </c>
      <c r="AK167" s="725">
        <v>24</v>
      </c>
      <c r="AL167" s="726">
        <v>45580</v>
      </c>
      <c r="AM167" s="725">
        <v>14</v>
      </c>
      <c r="AN167" s="727">
        <v>0.39899999999999997</v>
      </c>
      <c r="AO167" s="725">
        <v>8</v>
      </c>
      <c r="AP167" s="727">
        <v>8.8000000000000009E-2</v>
      </c>
      <c r="AQ167" s="725">
        <v>12</v>
      </c>
      <c r="AR167" s="728">
        <v>0.66099999999999992</v>
      </c>
      <c r="AS167" s="729">
        <v>7</v>
      </c>
      <c r="AT167" s="728">
        <v>0.04</v>
      </c>
      <c r="AU167" s="730">
        <v>7</v>
      </c>
      <c r="AV167" s="731">
        <v>0.13400000000000001</v>
      </c>
      <c r="AW167" s="730">
        <v>9</v>
      </c>
      <c r="AX167" s="728">
        <v>0.16800000000000001</v>
      </c>
      <c r="AY167" s="730">
        <v>8</v>
      </c>
      <c r="AZ167" s="728">
        <v>5.7999999999999996E-2</v>
      </c>
      <c r="BA167" s="730">
        <v>9</v>
      </c>
      <c r="BB167" s="733">
        <v>9.8000000000000004E-2</v>
      </c>
      <c r="BC167" s="730">
        <v>3</v>
      </c>
      <c r="BD167" s="6"/>
    </row>
    <row r="168" spans="7:56" s="704" customFormat="1" ht="15">
      <c r="G168" s="1546"/>
      <c r="W168" s="6"/>
      <c r="X168" s="87"/>
      <c r="Y168" s="87"/>
      <c r="Z168" s="739"/>
      <c r="AA168" s="739"/>
      <c r="AB168" s="743"/>
      <c r="AC168" s="108"/>
      <c r="AD168" s="108"/>
      <c r="AE168" s="770" t="s">
        <v>1106</v>
      </c>
      <c r="AF168" s="771" t="s">
        <v>653</v>
      </c>
      <c r="AG168" s="108"/>
      <c r="AH168" s="454" t="s">
        <v>434</v>
      </c>
      <c r="AI168" s="455">
        <v>215</v>
      </c>
      <c r="AJ168" s="724">
        <v>3.1777277840269964E-2</v>
      </c>
      <c r="AK168" s="725">
        <v>24</v>
      </c>
      <c r="AL168" s="726">
        <v>45580</v>
      </c>
      <c r="AM168" s="725">
        <v>14</v>
      </c>
      <c r="AN168" s="727">
        <v>0.39899999999999997</v>
      </c>
      <c r="AO168" s="725">
        <v>8</v>
      </c>
      <c r="AP168" s="727">
        <v>8.8000000000000009E-2</v>
      </c>
      <c r="AQ168" s="725">
        <v>12</v>
      </c>
      <c r="AR168" s="728">
        <v>0.69200000000000006</v>
      </c>
      <c r="AS168" s="729">
        <v>8</v>
      </c>
      <c r="AT168" s="728">
        <v>6.0000000000000001E-3</v>
      </c>
      <c r="AU168" s="730">
        <v>10</v>
      </c>
      <c r="AV168" s="731">
        <v>0.11599999999999999</v>
      </c>
      <c r="AW168" s="730">
        <v>9</v>
      </c>
      <c r="AX168" s="728">
        <v>0.127</v>
      </c>
      <c r="AY168" s="730">
        <v>8</v>
      </c>
      <c r="AZ168" s="728">
        <v>7.0000000000000007E-2</v>
      </c>
      <c r="BA168" s="730">
        <v>8</v>
      </c>
      <c r="BB168" s="733">
        <v>3.7000000000000005E-2</v>
      </c>
      <c r="BC168" s="730">
        <v>1</v>
      </c>
      <c r="BD168" s="6"/>
    </row>
    <row r="169" spans="7:56" s="704" customFormat="1" ht="15">
      <c r="G169" s="1546"/>
      <c r="W169" s="6"/>
      <c r="X169" s="87"/>
      <c r="Y169" s="87"/>
      <c r="Z169" s="739"/>
      <c r="AA169" s="739"/>
      <c r="AB169" s="743"/>
      <c r="AC169" s="108"/>
      <c r="AD169" s="108"/>
      <c r="AE169" s="770" t="s">
        <v>2778</v>
      </c>
      <c r="AF169" s="771" t="s">
        <v>1450</v>
      </c>
      <c r="AG169" s="108"/>
      <c r="AH169" s="454" t="s">
        <v>435</v>
      </c>
      <c r="AI169" s="455">
        <v>9701</v>
      </c>
      <c r="AJ169" s="724">
        <v>7.3329007138221936E-2</v>
      </c>
      <c r="AK169" s="725">
        <v>18</v>
      </c>
      <c r="AL169" s="726">
        <v>47186</v>
      </c>
      <c r="AM169" s="725">
        <v>12</v>
      </c>
      <c r="AN169" s="727">
        <v>0.24399999999999999</v>
      </c>
      <c r="AO169" s="725">
        <v>2</v>
      </c>
      <c r="AP169" s="727">
        <v>0.14899999999999999</v>
      </c>
      <c r="AQ169" s="725">
        <v>6</v>
      </c>
      <c r="AR169" s="728">
        <v>0.878</v>
      </c>
      <c r="AS169" s="729">
        <v>10</v>
      </c>
      <c r="AT169" s="728">
        <v>0</v>
      </c>
      <c r="AU169" s="730">
        <v>10</v>
      </c>
      <c r="AV169" s="731">
        <v>5.2000000000000005E-2</v>
      </c>
      <c r="AW169" s="730">
        <v>10</v>
      </c>
      <c r="AX169" s="728">
        <v>4.2000000000000003E-2</v>
      </c>
      <c r="AY169" s="730">
        <v>10</v>
      </c>
      <c r="AZ169" s="728">
        <v>1.2E-2</v>
      </c>
      <c r="BA169" s="730">
        <v>10</v>
      </c>
      <c r="BB169" s="733">
        <v>0.129</v>
      </c>
      <c r="BC169" s="730">
        <v>4</v>
      </c>
      <c r="BD169" s="6"/>
    </row>
    <row r="170" spans="7:56" s="704" customFormat="1" ht="15">
      <c r="G170" s="1546"/>
      <c r="W170" s="6"/>
      <c r="X170" s="87"/>
      <c r="Y170" s="87"/>
      <c r="Z170" s="739"/>
      <c r="AA170" s="739"/>
      <c r="AB170" s="743"/>
      <c r="AC170" s="108"/>
      <c r="AD170" s="108"/>
      <c r="AE170" s="770" t="s">
        <v>2779</v>
      </c>
      <c r="AF170" s="771" t="s">
        <v>1450</v>
      </c>
      <c r="AG170" s="108"/>
      <c r="AH170" s="454" t="s">
        <v>435</v>
      </c>
      <c r="AI170" s="455">
        <v>9702</v>
      </c>
      <c r="AJ170" s="724">
        <v>7.3329007138221936E-2</v>
      </c>
      <c r="AK170" s="725">
        <v>18</v>
      </c>
      <c r="AL170" s="726">
        <v>47186</v>
      </c>
      <c r="AM170" s="725">
        <v>12</v>
      </c>
      <c r="AN170" s="727">
        <v>0.24399999999999999</v>
      </c>
      <c r="AO170" s="725">
        <v>2</v>
      </c>
      <c r="AP170" s="727">
        <v>0.14899999999999999</v>
      </c>
      <c r="AQ170" s="725">
        <v>6</v>
      </c>
      <c r="AR170" s="728">
        <v>0.57499999999999996</v>
      </c>
      <c r="AS170" s="729">
        <v>6</v>
      </c>
      <c r="AT170" s="728">
        <v>8.9999999999999993E-3</v>
      </c>
      <c r="AU170" s="730">
        <v>10</v>
      </c>
      <c r="AV170" s="731">
        <v>0.152</v>
      </c>
      <c r="AW170" s="730">
        <v>9</v>
      </c>
      <c r="AX170" s="728">
        <v>0.13500000000000001</v>
      </c>
      <c r="AY170" s="730">
        <v>8</v>
      </c>
      <c r="AZ170" s="728">
        <v>2.8999999999999998E-2</v>
      </c>
      <c r="BA170" s="730">
        <v>9</v>
      </c>
      <c r="BB170" s="733">
        <v>0.08</v>
      </c>
      <c r="BC170" s="730">
        <v>3</v>
      </c>
      <c r="BD170" s="6"/>
    </row>
    <row r="171" spans="7:56" s="704" customFormat="1" ht="15">
      <c r="G171" s="1546"/>
      <c r="W171" s="6"/>
      <c r="X171" s="87"/>
      <c r="Y171" s="87"/>
      <c r="Z171" s="739"/>
      <c r="AA171" s="739"/>
      <c r="AB171" s="743"/>
      <c r="AC171" s="108"/>
      <c r="AD171" s="108"/>
      <c r="AE171" s="770" t="s">
        <v>2521</v>
      </c>
      <c r="AF171" s="771" t="s">
        <v>1450</v>
      </c>
      <c r="AG171" s="108"/>
      <c r="AH171" s="454" t="s">
        <v>435</v>
      </c>
      <c r="AI171" s="455">
        <v>9703</v>
      </c>
      <c r="AJ171" s="724">
        <v>7.3329007138221936E-2</v>
      </c>
      <c r="AK171" s="725">
        <v>18</v>
      </c>
      <c r="AL171" s="726">
        <v>47186</v>
      </c>
      <c r="AM171" s="725">
        <v>12</v>
      </c>
      <c r="AN171" s="727">
        <v>0.24399999999999999</v>
      </c>
      <c r="AO171" s="725">
        <v>2</v>
      </c>
      <c r="AP171" s="727">
        <v>0.14899999999999999</v>
      </c>
      <c r="AQ171" s="725">
        <v>6</v>
      </c>
      <c r="AR171" s="728">
        <v>0.752</v>
      </c>
      <c r="AS171" s="729">
        <v>8</v>
      </c>
      <c r="AT171" s="728">
        <v>0</v>
      </c>
      <c r="AU171" s="730">
        <v>10</v>
      </c>
      <c r="AV171" s="731">
        <v>0.124</v>
      </c>
      <c r="AW171" s="730">
        <v>9</v>
      </c>
      <c r="AX171" s="728">
        <v>0.109</v>
      </c>
      <c r="AY171" s="730">
        <v>9</v>
      </c>
      <c r="AZ171" s="728">
        <v>2.1000000000000001E-2</v>
      </c>
      <c r="BA171" s="730">
        <v>10</v>
      </c>
      <c r="BB171" s="733">
        <v>4.4000000000000004E-2</v>
      </c>
      <c r="BC171" s="730">
        <v>2</v>
      </c>
      <c r="BD171" s="6"/>
    </row>
    <row r="172" spans="7:56" s="704" customFormat="1" ht="15">
      <c r="G172" s="1546"/>
      <c r="W172" s="6"/>
      <c r="X172" s="87"/>
      <c r="Y172" s="87"/>
      <c r="Z172" s="739"/>
      <c r="AA172" s="739"/>
      <c r="AB172" s="743"/>
      <c r="AC172" s="108"/>
      <c r="AD172" s="108"/>
      <c r="AE172" s="770" t="s">
        <v>2522</v>
      </c>
      <c r="AF172" s="771" t="s">
        <v>653</v>
      </c>
      <c r="AG172" s="108"/>
      <c r="AH172" s="454" t="s">
        <v>436</v>
      </c>
      <c r="AI172" s="455">
        <v>301</v>
      </c>
      <c r="AJ172" s="724">
        <v>6.7766323024054984E-2</v>
      </c>
      <c r="AK172" s="725">
        <v>18</v>
      </c>
      <c r="AL172" s="726">
        <v>50433</v>
      </c>
      <c r="AM172" s="725">
        <v>12</v>
      </c>
      <c r="AN172" s="727">
        <v>0.46200000000000002</v>
      </c>
      <c r="AO172" s="725">
        <v>12</v>
      </c>
      <c r="AP172" s="727">
        <v>6.9000000000000006E-2</v>
      </c>
      <c r="AQ172" s="725">
        <v>14</v>
      </c>
      <c r="AR172" s="728">
        <v>0.41</v>
      </c>
      <c r="AS172" s="729">
        <v>5</v>
      </c>
      <c r="AT172" s="728">
        <v>9.0999999999999998E-2</v>
      </c>
      <c r="AU172" s="730">
        <v>2</v>
      </c>
      <c r="AV172" s="731">
        <v>0.28600000000000003</v>
      </c>
      <c r="AW172" s="730">
        <v>7</v>
      </c>
      <c r="AX172" s="728">
        <v>0.38600000000000001</v>
      </c>
      <c r="AY172" s="730">
        <v>4</v>
      </c>
      <c r="AZ172" s="728">
        <v>0.128</v>
      </c>
      <c r="BA172" s="730">
        <v>6</v>
      </c>
      <c r="BB172" s="733">
        <v>0.06</v>
      </c>
      <c r="BC172" s="730">
        <v>2</v>
      </c>
      <c r="BD172" s="6"/>
    </row>
    <row r="173" spans="7:56" s="704" customFormat="1" ht="15">
      <c r="G173" s="1546"/>
      <c r="W173" s="6"/>
      <c r="X173" s="87"/>
      <c r="Y173" s="87"/>
      <c r="Z173" s="739"/>
      <c r="AA173" s="739"/>
      <c r="AB173" s="743"/>
      <c r="AC173" s="108"/>
      <c r="AD173" s="108"/>
      <c r="AE173" s="770" t="s">
        <v>2523</v>
      </c>
      <c r="AF173" s="771" t="s">
        <v>1450</v>
      </c>
      <c r="AG173" s="108"/>
      <c r="AH173" s="454" t="s">
        <v>436</v>
      </c>
      <c r="AI173" s="455">
        <v>302</v>
      </c>
      <c r="AJ173" s="724">
        <v>6.7766323024054984E-2</v>
      </c>
      <c r="AK173" s="725">
        <v>18</v>
      </c>
      <c r="AL173" s="726">
        <v>50433</v>
      </c>
      <c r="AM173" s="725">
        <v>12</v>
      </c>
      <c r="AN173" s="727">
        <v>0.46200000000000002</v>
      </c>
      <c r="AO173" s="725">
        <v>12</v>
      </c>
      <c r="AP173" s="727">
        <v>6.9000000000000006E-2</v>
      </c>
      <c r="AQ173" s="725">
        <v>14</v>
      </c>
      <c r="AR173" s="728">
        <v>0.86499999999999999</v>
      </c>
      <c r="AS173" s="729">
        <v>10</v>
      </c>
      <c r="AT173" s="728">
        <v>2.5000000000000001E-2</v>
      </c>
      <c r="AU173" s="730">
        <v>8</v>
      </c>
      <c r="AV173" s="731">
        <v>0.215</v>
      </c>
      <c r="AW173" s="730">
        <v>8</v>
      </c>
      <c r="AX173" s="728">
        <v>0.17300000000000001</v>
      </c>
      <c r="AY173" s="730">
        <v>8</v>
      </c>
      <c r="AZ173" s="728">
        <v>8.199999999999999E-2</v>
      </c>
      <c r="BA173" s="730">
        <v>8</v>
      </c>
      <c r="BB173" s="733">
        <v>0.126</v>
      </c>
      <c r="BC173" s="730">
        <v>4</v>
      </c>
      <c r="BD173" s="6"/>
    </row>
    <row r="174" spans="7:56" s="704" customFormat="1" ht="15">
      <c r="G174" s="1546"/>
      <c r="W174" s="6"/>
      <c r="X174" s="87"/>
      <c r="Y174" s="87"/>
      <c r="Z174" s="739"/>
      <c r="AA174" s="739"/>
      <c r="AB174" s="743"/>
      <c r="AC174" s="108"/>
      <c r="AD174" s="108"/>
      <c r="AE174" s="770" t="s">
        <v>1107</v>
      </c>
      <c r="AF174" s="771" t="s">
        <v>653</v>
      </c>
      <c r="AG174" s="108"/>
      <c r="AH174" s="454" t="s">
        <v>436</v>
      </c>
      <c r="AI174" s="455">
        <v>303</v>
      </c>
      <c r="AJ174" s="724">
        <v>6.7766323024054984E-2</v>
      </c>
      <c r="AK174" s="725">
        <v>18</v>
      </c>
      <c r="AL174" s="726">
        <v>50433</v>
      </c>
      <c r="AM174" s="725">
        <v>12</v>
      </c>
      <c r="AN174" s="727">
        <v>0.46200000000000002</v>
      </c>
      <c r="AO174" s="725">
        <v>12</v>
      </c>
      <c r="AP174" s="727">
        <v>6.9000000000000006E-2</v>
      </c>
      <c r="AQ174" s="725">
        <v>14</v>
      </c>
      <c r="AR174" s="728">
        <v>0.373</v>
      </c>
      <c r="AS174" s="729">
        <v>4</v>
      </c>
      <c r="AT174" s="728">
        <v>5.3000000000000005E-2</v>
      </c>
      <c r="AU174" s="730">
        <v>6</v>
      </c>
      <c r="AV174" s="731">
        <v>0.32100000000000001</v>
      </c>
      <c r="AW174" s="730">
        <v>6</v>
      </c>
      <c r="AX174" s="728">
        <v>0.23699999999999999</v>
      </c>
      <c r="AY174" s="730">
        <v>7</v>
      </c>
      <c r="AZ174" s="728">
        <v>7.6999999999999999E-2</v>
      </c>
      <c r="BA174" s="730">
        <v>8</v>
      </c>
      <c r="BB174" s="733">
        <v>0.10400000000000001</v>
      </c>
      <c r="BC174" s="730">
        <v>3</v>
      </c>
      <c r="BD174" s="6"/>
    </row>
    <row r="175" spans="7:56" s="704" customFormat="1" ht="15">
      <c r="G175" s="1546"/>
      <c r="W175" s="6"/>
      <c r="X175" s="87"/>
      <c r="Y175" s="87"/>
      <c r="Z175" s="739"/>
      <c r="AA175" s="739"/>
      <c r="AB175" s="743"/>
      <c r="AC175" s="108"/>
      <c r="AD175" s="108"/>
      <c r="AE175" s="770" t="s">
        <v>1108</v>
      </c>
      <c r="AF175" s="771" t="s">
        <v>1450</v>
      </c>
      <c r="AG175" s="108"/>
      <c r="AH175" s="454" t="s">
        <v>436</v>
      </c>
      <c r="AI175" s="455">
        <v>304</v>
      </c>
      <c r="AJ175" s="724">
        <v>6.7766323024054984E-2</v>
      </c>
      <c r="AK175" s="725">
        <v>18</v>
      </c>
      <c r="AL175" s="726">
        <v>50433</v>
      </c>
      <c r="AM175" s="725">
        <v>12</v>
      </c>
      <c r="AN175" s="727">
        <v>0.46200000000000002</v>
      </c>
      <c r="AO175" s="725">
        <v>12</v>
      </c>
      <c r="AP175" s="727">
        <v>6.9000000000000006E-2</v>
      </c>
      <c r="AQ175" s="725">
        <v>14</v>
      </c>
      <c r="AR175" s="728">
        <v>0.64</v>
      </c>
      <c r="AS175" s="729">
        <v>7</v>
      </c>
      <c r="AT175" s="728">
        <v>1.9E-2</v>
      </c>
      <c r="AU175" s="730">
        <v>9</v>
      </c>
      <c r="AV175" s="731">
        <v>0.14800000000000002</v>
      </c>
      <c r="AW175" s="730">
        <v>9</v>
      </c>
      <c r="AX175" s="728">
        <v>0.17899999999999999</v>
      </c>
      <c r="AY175" s="730">
        <v>8</v>
      </c>
      <c r="AZ175" s="728">
        <v>1.2E-2</v>
      </c>
      <c r="BA175" s="730">
        <v>10</v>
      </c>
      <c r="BB175" s="733">
        <v>0.217</v>
      </c>
      <c r="BC175" s="730">
        <v>6</v>
      </c>
      <c r="BD175" s="6"/>
    </row>
    <row r="176" spans="7:56" s="704" customFormat="1" ht="15">
      <c r="G176" s="1546"/>
      <c r="W176" s="6"/>
      <c r="X176" s="87"/>
      <c r="Y176" s="87"/>
      <c r="Z176" s="739"/>
      <c r="AA176" s="739"/>
      <c r="AB176" s="743"/>
      <c r="AC176" s="108"/>
      <c r="AD176" s="108"/>
      <c r="AE176" s="770" t="s">
        <v>1109</v>
      </c>
      <c r="AF176" s="771" t="s">
        <v>1450</v>
      </c>
      <c r="AG176" s="108"/>
      <c r="AH176" s="454" t="s">
        <v>436</v>
      </c>
      <c r="AI176" s="455">
        <v>305</v>
      </c>
      <c r="AJ176" s="724">
        <v>6.7766323024054984E-2</v>
      </c>
      <c r="AK176" s="725">
        <v>18</v>
      </c>
      <c r="AL176" s="726">
        <v>50433</v>
      </c>
      <c r="AM176" s="725">
        <v>12</v>
      </c>
      <c r="AN176" s="727">
        <v>0.46200000000000002</v>
      </c>
      <c r="AO176" s="725">
        <v>12</v>
      </c>
      <c r="AP176" s="727">
        <v>6.9000000000000006E-2</v>
      </c>
      <c r="AQ176" s="725">
        <v>14</v>
      </c>
      <c r="AR176" s="728">
        <v>0.755</v>
      </c>
      <c r="AS176" s="729">
        <v>8</v>
      </c>
      <c r="AT176" s="728">
        <v>1E-3</v>
      </c>
      <c r="AU176" s="730">
        <v>10</v>
      </c>
      <c r="AV176" s="731">
        <v>9.9000000000000005E-2</v>
      </c>
      <c r="AW176" s="730">
        <v>9</v>
      </c>
      <c r="AX176" s="728">
        <v>0.10400000000000001</v>
      </c>
      <c r="AY176" s="730">
        <v>9</v>
      </c>
      <c r="AZ176" s="728">
        <v>0.05</v>
      </c>
      <c r="BA176" s="730">
        <v>9</v>
      </c>
      <c r="BB176" s="733">
        <v>9.8000000000000004E-2</v>
      </c>
      <c r="BC176" s="730">
        <v>3</v>
      </c>
      <c r="BD176" s="6"/>
    </row>
    <row r="177" spans="7:56" s="704" customFormat="1" ht="15">
      <c r="G177" s="1546"/>
      <c r="W177" s="6"/>
      <c r="X177" s="87"/>
      <c r="Y177" s="87"/>
      <c r="Z177" s="739"/>
      <c r="AA177" s="739"/>
      <c r="AB177" s="743"/>
      <c r="AC177" s="108"/>
      <c r="AD177" s="108"/>
      <c r="AE177" s="770" t="s">
        <v>2524</v>
      </c>
      <c r="AF177" s="771" t="s">
        <v>1450</v>
      </c>
      <c r="AG177" s="108"/>
      <c r="AH177" s="454" t="s">
        <v>436</v>
      </c>
      <c r="AI177" s="455">
        <v>306.01</v>
      </c>
      <c r="AJ177" s="724">
        <v>6.7766323024054984E-2</v>
      </c>
      <c r="AK177" s="725">
        <v>18</v>
      </c>
      <c r="AL177" s="726">
        <v>50433</v>
      </c>
      <c r="AM177" s="725">
        <v>12</v>
      </c>
      <c r="AN177" s="727">
        <v>0.46200000000000002</v>
      </c>
      <c r="AO177" s="725">
        <v>12</v>
      </c>
      <c r="AP177" s="727">
        <v>6.9000000000000006E-2</v>
      </c>
      <c r="AQ177" s="725">
        <v>14</v>
      </c>
      <c r="AR177" s="728">
        <v>0.60299999999999998</v>
      </c>
      <c r="AS177" s="729">
        <v>7</v>
      </c>
      <c r="AT177" s="728">
        <v>1.1000000000000001E-2</v>
      </c>
      <c r="AU177" s="730">
        <v>9</v>
      </c>
      <c r="AV177" s="731">
        <v>0.21299999999999999</v>
      </c>
      <c r="AW177" s="730">
        <v>8</v>
      </c>
      <c r="AX177" s="728">
        <v>0.251</v>
      </c>
      <c r="AY177" s="730">
        <v>6</v>
      </c>
      <c r="AZ177" s="728">
        <v>0.11599999999999999</v>
      </c>
      <c r="BA177" s="730">
        <v>7</v>
      </c>
      <c r="BB177" s="733">
        <v>8.6999999999999994E-2</v>
      </c>
      <c r="BC177" s="730">
        <v>3</v>
      </c>
      <c r="BD177" s="6"/>
    </row>
    <row r="178" spans="7:56" s="704" customFormat="1" ht="15">
      <c r="G178" s="1546"/>
      <c r="W178" s="6"/>
      <c r="X178" s="87"/>
      <c r="Y178" s="87"/>
      <c r="Z178" s="739"/>
      <c r="AA178" s="739"/>
      <c r="AB178" s="743"/>
      <c r="AC178" s="108"/>
      <c r="AD178" s="108"/>
      <c r="AE178" s="770" t="s">
        <v>2525</v>
      </c>
      <c r="AF178" s="771" t="s">
        <v>652</v>
      </c>
      <c r="AG178" s="108"/>
      <c r="AH178" s="454" t="s">
        <v>436</v>
      </c>
      <c r="AI178" s="455">
        <v>306.02</v>
      </c>
      <c r="AJ178" s="724">
        <v>6.7766323024054984E-2</v>
      </c>
      <c r="AK178" s="725">
        <v>18</v>
      </c>
      <c r="AL178" s="726">
        <v>50433</v>
      </c>
      <c r="AM178" s="725">
        <v>12</v>
      </c>
      <c r="AN178" s="727">
        <v>0.46200000000000002</v>
      </c>
      <c r="AO178" s="725">
        <v>12</v>
      </c>
      <c r="AP178" s="727">
        <v>6.9000000000000006E-2</v>
      </c>
      <c r="AQ178" s="725">
        <v>14</v>
      </c>
      <c r="AR178" s="728">
        <v>0.65</v>
      </c>
      <c r="AS178" s="729">
        <v>7</v>
      </c>
      <c r="AT178" s="728">
        <v>2.3E-2</v>
      </c>
      <c r="AU178" s="730">
        <v>8</v>
      </c>
      <c r="AV178" s="731">
        <v>0.14499999999999999</v>
      </c>
      <c r="AW178" s="730">
        <v>9</v>
      </c>
      <c r="AX178" s="728">
        <v>0.21100000000000002</v>
      </c>
      <c r="AY178" s="730">
        <v>7</v>
      </c>
      <c r="AZ178" s="728">
        <v>0.03</v>
      </c>
      <c r="BA178" s="730">
        <v>9</v>
      </c>
      <c r="BB178" s="733">
        <v>0.14300000000000002</v>
      </c>
      <c r="BC178" s="730">
        <v>4</v>
      </c>
      <c r="BD178" s="6"/>
    </row>
    <row r="179" spans="7:56" s="704" customFormat="1" ht="15">
      <c r="G179" s="1546"/>
      <c r="W179" s="6"/>
      <c r="X179" s="87"/>
      <c r="Y179" s="87"/>
      <c r="Z179" s="739"/>
      <c r="AA179" s="739"/>
      <c r="AB179" s="743"/>
      <c r="AC179" s="108"/>
      <c r="AD179" s="108"/>
      <c r="AE179" s="770" t="s">
        <v>2526</v>
      </c>
      <c r="AF179" s="771" t="s">
        <v>1450</v>
      </c>
      <c r="AG179" s="108"/>
      <c r="AH179" s="454" t="s">
        <v>436</v>
      </c>
      <c r="AI179" s="455">
        <v>307</v>
      </c>
      <c r="AJ179" s="724">
        <v>6.7766323024054984E-2</v>
      </c>
      <c r="AK179" s="725">
        <v>18</v>
      </c>
      <c r="AL179" s="726">
        <v>50433</v>
      </c>
      <c r="AM179" s="725">
        <v>12</v>
      </c>
      <c r="AN179" s="727">
        <v>0.46200000000000002</v>
      </c>
      <c r="AO179" s="725">
        <v>12</v>
      </c>
      <c r="AP179" s="727">
        <v>6.9000000000000006E-2</v>
      </c>
      <c r="AQ179" s="725">
        <v>14</v>
      </c>
      <c r="AR179" s="728">
        <v>0.7340000000000001</v>
      </c>
      <c r="AS179" s="729">
        <v>8</v>
      </c>
      <c r="AT179" s="728">
        <v>0</v>
      </c>
      <c r="AU179" s="730">
        <v>10</v>
      </c>
      <c r="AV179" s="731">
        <v>0.16399999999999998</v>
      </c>
      <c r="AW179" s="730">
        <v>8</v>
      </c>
      <c r="AX179" s="728">
        <v>0.21899999999999997</v>
      </c>
      <c r="AY179" s="730">
        <v>7</v>
      </c>
      <c r="AZ179" s="728">
        <v>0.14000000000000001</v>
      </c>
      <c r="BA179" s="730">
        <v>6</v>
      </c>
      <c r="BB179" s="733">
        <v>5.2000000000000005E-2</v>
      </c>
      <c r="BC179" s="730">
        <v>2</v>
      </c>
      <c r="BD179" s="6"/>
    </row>
    <row r="180" spans="7:56" s="704" customFormat="1" ht="15">
      <c r="G180" s="1546"/>
      <c r="W180" s="6"/>
      <c r="X180" s="87"/>
      <c r="Y180" s="87"/>
      <c r="Z180" s="739"/>
      <c r="AA180" s="739"/>
      <c r="AB180" s="743"/>
      <c r="AC180" s="108"/>
      <c r="AD180" s="108"/>
      <c r="AE180" s="770" t="s">
        <v>1110</v>
      </c>
      <c r="AF180" s="771" t="s">
        <v>652</v>
      </c>
      <c r="AG180" s="108"/>
      <c r="AH180" s="454" t="s">
        <v>436</v>
      </c>
      <c r="AI180" s="455">
        <v>308</v>
      </c>
      <c r="AJ180" s="724">
        <v>6.7766323024054984E-2</v>
      </c>
      <c r="AK180" s="725">
        <v>18</v>
      </c>
      <c r="AL180" s="726">
        <v>50433</v>
      </c>
      <c r="AM180" s="725">
        <v>12</v>
      </c>
      <c r="AN180" s="727">
        <v>0.46200000000000002</v>
      </c>
      <c r="AO180" s="725">
        <v>12</v>
      </c>
      <c r="AP180" s="727">
        <v>6.9000000000000006E-2</v>
      </c>
      <c r="AQ180" s="725">
        <v>14</v>
      </c>
      <c r="AR180" s="728">
        <v>0.72400000000000009</v>
      </c>
      <c r="AS180" s="729">
        <v>8</v>
      </c>
      <c r="AT180" s="728">
        <v>5.0000000000000001E-3</v>
      </c>
      <c r="AU180" s="730">
        <v>10</v>
      </c>
      <c r="AV180" s="731">
        <v>0.182</v>
      </c>
      <c r="AW180" s="730">
        <v>8</v>
      </c>
      <c r="AX180" s="728">
        <v>0.14099999999999999</v>
      </c>
      <c r="AY180" s="730">
        <v>8</v>
      </c>
      <c r="AZ180" s="728">
        <v>0.11699999999999999</v>
      </c>
      <c r="BA180" s="730">
        <v>7</v>
      </c>
      <c r="BB180" s="733">
        <v>5.7999999999999996E-2</v>
      </c>
      <c r="BC180" s="730">
        <v>2</v>
      </c>
      <c r="BD180" s="6"/>
    </row>
    <row r="181" spans="7:56" s="704" customFormat="1" ht="15">
      <c r="G181" s="1546"/>
      <c r="W181" s="6"/>
      <c r="X181" s="87"/>
      <c r="Y181" s="87"/>
      <c r="Z181" s="739"/>
      <c r="AA181" s="739"/>
      <c r="AB181" s="743"/>
      <c r="AC181" s="108"/>
      <c r="AD181" s="108"/>
      <c r="AE181" s="770" t="s">
        <v>1111</v>
      </c>
      <c r="AF181" s="771" t="s">
        <v>653</v>
      </c>
      <c r="AG181" s="108"/>
      <c r="AH181" s="454" t="s">
        <v>436</v>
      </c>
      <c r="AI181" s="455">
        <v>310</v>
      </c>
      <c r="AJ181" s="724">
        <v>6.7766323024054984E-2</v>
      </c>
      <c r="AK181" s="725">
        <v>18</v>
      </c>
      <c r="AL181" s="726">
        <v>50433</v>
      </c>
      <c r="AM181" s="725">
        <v>12</v>
      </c>
      <c r="AN181" s="727">
        <v>0.46200000000000002</v>
      </c>
      <c r="AO181" s="725">
        <v>12</v>
      </c>
      <c r="AP181" s="727">
        <v>6.9000000000000006E-2</v>
      </c>
      <c r="AQ181" s="725">
        <v>14</v>
      </c>
      <c r="AR181" s="728">
        <v>0.69299999999999995</v>
      </c>
      <c r="AS181" s="729">
        <v>8</v>
      </c>
      <c r="AT181" s="728">
        <v>5.0999999999999997E-2</v>
      </c>
      <c r="AU181" s="730">
        <v>6</v>
      </c>
      <c r="AV181" s="731">
        <v>0.30499999999999999</v>
      </c>
      <c r="AW181" s="730">
        <v>6</v>
      </c>
      <c r="AX181" s="728">
        <v>0.20600000000000002</v>
      </c>
      <c r="AY181" s="730">
        <v>7</v>
      </c>
      <c r="AZ181" s="728">
        <v>0.05</v>
      </c>
      <c r="BA181" s="730">
        <v>9</v>
      </c>
      <c r="BB181" s="733">
        <v>7.2999999999999995E-2</v>
      </c>
      <c r="BC181" s="730">
        <v>2</v>
      </c>
      <c r="BD181" s="6"/>
    </row>
    <row r="182" spans="7:56" s="704" customFormat="1" ht="15">
      <c r="G182" s="1546"/>
      <c r="W182" s="6"/>
      <c r="X182" s="87"/>
      <c r="Y182" s="87"/>
      <c r="Z182" s="739"/>
      <c r="AA182" s="739"/>
      <c r="AB182" s="743"/>
      <c r="AC182" s="108"/>
      <c r="AD182" s="108"/>
      <c r="AE182" s="770" t="s">
        <v>2527</v>
      </c>
      <c r="AF182" s="771" t="s">
        <v>1450</v>
      </c>
      <c r="AG182" s="108"/>
      <c r="AH182" s="454" t="s">
        <v>436</v>
      </c>
      <c r="AI182" s="455">
        <v>311</v>
      </c>
      <c r="AJ182" s="724">
        <v>6.7766323024054984E-2</v>
      </c>
      <c r="AK182" s="725">
        <v>18</v>
      </c>
      <c r="AL182" s="726">
        <v>50433</v>
      </c>
      <c r="AM182" s="725">
        <v>12</v>
      </c>
      <c r="AN182" s="727">
        <v>0.46200000000000002</v>
      </c>
      <c r="AO182" s="725">
        <v>12</v>
      </c>
      <c r="AP182" s="727">
        <v>6.9000000000000006E-2</v>
      </c>
      <c r="AQ182" s="725">
        <v>14</v>
      </c>
      <c r="AR182" s="728">
        <v>0.77200000000000002</v>
      </c>
      <c r="AS182" s="729">
        <v>9</v>
      </c>
      <c r="AT182" s="728">
        <v>2.1000000000000001E-2</v>
      </c>
      <c r="AU182" s="730">
        <v>9</v>
      </c>
      <c r="AV182" s="731">
        <v>0.13</v>
      </c>
      <c r="AW182" s="730">
        <v>9</v>
      </c>
      <c r="AX182" s="728">
        <v>0.19899999999999998</v>
      </c>
      <c r="AY182" s="730">
        <v>7</v>
      </c>
      <c r="AZ182" s="728">
        <v>6.3E-2</v>
      </c>
      <c r="BA182" s="730">
        <v>8</v>
      </c>
      <c r="BB182" s="733">
        <v>0.157</v>
      </c>
      <c r="BC182" s="730">
        <v>5</v>
      </c>
      <c r="BD182" s="6"/>
    </row>
    <row r="183" spans="7:56" s="704" customFormat="1" ht="15">
      <c r="G183" s="1546"/>
      <c r="W183" s="6"/>
      <c r="X183" s="87"/>
      <c r="Y183" s="87"/>
      <c r="Z183" s="739"/>
      <c r="AA183" s="739"/>
      <c r="AB183" s="743"/>
      <c r="AC183" s="108"/>
      <c r="AD183" s="108"/>
      <c r="AE183" s="770" t="s">
        <v>1112</v>
      </c>
      <c r="AF183" s="771" t="s">
        <v>652</v>
      </c>
      <c r="AG183" s="108"/>
      <c r="AH183" s="454" t="s">
        <v>436</v>
      </c>
      <c r="AI183" s="455">
        <v>312</v>
      </c>
      <c r="AJ183" s="724">
        <v>6.7766323024054984E-2</v>
      </c>
      <c r="AK183" s="725">
        <v>18</v>
      </c>
      <c r="AL183" s="726">
        <v>50433</v>
      </c>
      <c r="AM183" s="725">
        <v>12</v>
      </c>
      <c r="AN183" s="727">
        <v>0.46200000000000002</v>
      </c>
      <c r="AO183" s="725">
        <v>12</v>
      </c>
      <c r="AP183" s="727">
        <v>6.9000000000000006E-2</v>
      </c>
      <c r="AQ183" s="725">
        <v>14</v>
      </c>
      <c r="AR183" s="728">
        <v>0.89800000000000002</v>
      </c>
      <c r="AS183" s="729">
        <v>10</v>
      </c>
      <c r="AT183" s="728">
        <v>0</v>
      </c>
      <c r="AU183" s="730">
        <v>10</v>
      </c>
      <c r="AV183" s="731">
        <v>2.4E-2</v>
      </c>
      <c r="AW183" s="730">
        <v>10</v>
      </c>
      <c r="AX183" s="728">
        <v>3.9E-2</v>
      </c>
      <c r="AY183" s="730">
        <v>10</v>
      </c>
      <c r="AZ183" s="728">
        <v>5.2000000000000005E-2</v>
      </c>
      <c r="BA183" s="730">
        <v>9</v>
      </c>
      <c r="BB183" s="733">
        <v>0.18600000000000003</v>
      </c>
      <c r="BC183" s="730">
        <v>5</v>
      </c>
      <c r="BD183" s="6"/>
    </row>
    <row r="184" spans="7:56" s="704" customFormat="1" ht="15">
      <c r="G184" s="1546"/>
      <c r="W184" s="6"/>
      <c r="X184" s="87"/>
      <c r="Y184" s="87"/>
      <c r="Z184" s="739"/>
      <c r="AA184" s="739"/>
      <c r="AB184" s="743"/>
      <c r="AC184" s="108"/>
      <c r="AD184" s="108"/>
      <c r="AE184" s="770" t="s">
        <v>2528</v>
      </c>
      <c r="AF184" s="771" t="s">
        <v>653</v>
      </c>
      <c r="AG184" s="108"/>
      <c r="AH184" s="454" t="s">
        <v>436</v>
      </c>
      <c r="AI184" s="455">
        <v>313</v>
      </c>
      <c r="AJ184" s="724">
        <v>6.7766323024054984E-2</v>
      </c>
      <c r="AK184" s="725">
        <v>18</v>
      </c>
      <c r="AL184" s="726">
        <v>50433</v>
      </c>
      <c r="AM184" s="725">
        <v>12</v>
      </c>
      <c r="AN184" s="727">
        <v>0.46200000000000002</v>
      </c>
      <c r="AO184" s="725">
        <v>12</v>
      </c>
      <c r="AP184" s="727">
        <v>6.9000000000000006E-2</v>
      </c>
      <c r="AQ184" s="725">
        <v>14</v>
      </c>
      <c r="AR184" s="728">
        <v>0.879</v>
      </c>
      <c r="AS184" s="729">
        <v>10</v>
      </c>
      <c r="AT184" s="728">
        <v>0</v>
      </c>
      <c r="AU184" s="730">
        <v>10</v>
      </c>
      <c r="AV184" s="731">
        <v>0.11</v>
      </c>
      <c r="AW184" s="730">
        <v>9</v>
      </c>
      <c r="AX184" s="728">
        <v>0.14199999999999999</v>
      </c>
      <c r="AY184" s="730">
        <v>8</v>
      </c>
      <c r="AZ184" s="728">
        <v>8.0000000000000002E-3</v>
      </c>
      <c r="BA184" s="730">
        <v>10</v>
      </c>
      <c r="BB184" s="733">
        <v>0.158</v>
      </c>
      <c r="BC184" s="730">
        <v>5</v>
      </c>
      <c r="BD184" s="6"/>
    </row>
    <row r="185" spans="7:56" s="704" customFormat="1" ht="15">
      <c r="G185" s="1546"/>
      <c r="W185" s="6"/>
      <c r="X185" s="87"/>
      <c r="Y185" s="87"/>
      <c r="Z185" s="739"/>
      <c r="AA185" s="739"/>
      <c r="AB185" s="743"/>
      <c r="AC185" s="108"/>
      <c r="AD185" s="108"/>
      <c r="AE185" s="770" t="s">
        <v>2780</v>
      </c>
      <c r="AF185" s="771" t="s">
        <v>652</v>
      </c>
      <c r="AG185" s="108"/>
      <c r="AH185" s="454" t="s">
        <v>436</v>
      </c>
      <c r="AI185" s="455">
        <v>314</v>
      </c>
      <c r="AJ185" s="724">
        <v>6.7766323024054984E-2</v>
      </c>
      <c r="AK185" s="725">
        <v>18</v>
      </c>
      <c r="AL185" s="726">
        <v>50433</v>
      </c>
      <c r="AM185" s="725">
        <v>12</v>
      </c>
      <c r="AN185" s="727">
        <v>0.46200000000000002</v>
      </c>
      <c r="AO185" s="725">
        <v>12</v>
      </c>
      <c r="AP185" s="727">
        <v>6.9000000000000006E-2</v>
      </c>
      <c r="AQ185" s="725">
        <v>14</v>
      </c>
      <c r="AR185" s="728">
        <v>0.92799999999999994</v>
      </c>
      <c r="AS185" s="729">
        <v>10</v>
      </c>
      <c r="AT185" s="728">
        <v>4.0000000000000001E-3</v>
      </c>
      <c r="AU185" s="730">
        <v>10</v>
      </c>
      <c r="AV185" s="731">
        <v>2.7999999999999997E-2</v>
      </c>
      <c r="AW185" s="730">
        <v>10</v>
      </c>
      <c r="AX185" s="728">
        <v>3.2000000000000001E-2</v>
      </c>
      <c r="AY185" s="730">
        <v>10</v>
      </c>
      <c r="AZ185" s="728">
        <v>6.5000000000000002E-2</v>
      </c>
      <c r="BA185" s="730">
        <v>8</v>
      </c>
      <c r="BB185" s="733">
        <v>0.11800000000000001</v>
      </c>
      <c r="BC185" s="730">
        <v>4</v>
      </c>
      <c r="BD185" s="6"/>
    </row>
    <row r="186" spans="7:56" s="704" customFormat="1" ht="15">
      <c r="G186" s="1546"/>
      <c r="W186" s="6"/>
      <c r="X186" s="87"/>
      <c r="Y186" s="87"/>
      <c r="Z186" s="739"/>
      <c r="AA186" s="739"/>
      <c r="AB186" s="743"/>
      <c r="AC186" s="108"/>
      <c r="AD186" s="108"/>
      <c r="AE186" s="770" t="s">
        <v>2781</v>
      </c>
      <c r="AF186" s="771" t="s">
        <v>653</v>
      </c>
      <c r="AG186" s="108"/>
      <c r="AH186" s="454" t="s">
        <v>436</v>
      </c>
      <c r="AI186" s="455">
        <v>315</v>
      </c>
      <c r="AJ186" s="724">
        <v>6.7766323024054984E-2</v>
      </c>
      <c r="AK186" s="725">
        <v>18</v>
      </c>
      <c r="AL186" s="726">
        <v>50433</v>
      </c>
      <c r="AM186" s="725">
        <v>12</v>
      </c>
      <c r="AN186" s="727">
        <v>0.46200000000000002</v>
      </c>
      <c r="AO186" s="725">
        <v>12</v>
      </c>
      <c r="AP186" s="727">
        <v>6.9000000000000006E-2</v>
      </c>
      <c r="AQ186" s="725">
        <v>14</v>
      </c>
      <c r="AR186" s="728">
        <v>0.86499999999999999</v>
      </c>
      <c r="AS186" s="729">
        <v>10</v>
      </c>
      <c r="AT186" s="728">
        <v>0</v>
      </c>
      <c r="AU186" s="730">
        <v>10</v>
      </c>
      <c r="AV186" s="731">
        <v>0.114</v>
      </c>
      <c r="AW186" s="730">
        <v>9</v>
      </c>
      <c r="AX186" s="728">
        <v>4.5999999999999999E-2</v>
      </c>
      <c r="AY186" s="730">
        <v>10</v>
      </c>
      <c r="AZ186" s="728">
        <v>0.11599999999999999</v>
      </c>
      <c r="BA186" s="730">
        <v>7</v>
      </c>
      <c r="BB186" s="733">
        <v>0.11900000000000001</v>
      </c>
      <c r="BC186" s="730">
        <v>4</v>
      </c>
      <c r="BD186" s="6"/>
    </row>
    <row r="187" spans="7:56" s="704" customFormat="1" ht="15">
      <c r="G187" s="1546"/>
      <c r="W187" s="6"/>
      <c r="X187" s="87"/>
      <c r="Y187" s="87"/>
      <c r="Z187" s="739"/>
      <c r="AA187" s="739"/>
      <c r="AB187" s="743"/>
      <c r="AC187" s="108"/>
      <c r="AD187" s="108"/>
      <c r="AE187" s="770" t="s">
        <v>2529</v>
      </c>
      <c r="AF187" s="771" t="s">
        <v>1450</v>
      </c>
      <c r="AG187" s="108"/>
      <c r="AH187" s="454" t="s">
        <v>436</v>
      </c>
      <c r="AI187" s="455">
        <v>316</v>
      </c>
      <c r="AJ187" s="724">
        <v>6.7766323024054984E-2</v>
      </c>
      <c r="AK187" s="725">
        <v>18</v>
      </c>
      <c r="AL187" s="726">
        <v>50433</v>
      </c>
      <c r="AM187" s="725">
        <v>12</v>
      </c>
      <c r="AN187" s="727">
        <v>0.46200000000000002</v>
      </c>
      <c r="AO187" s="725">
        <v>12</v>
      </c>
      <c r="AP187" s="727">
        <v>6.9000000000000006E-2</v>
      </c>
      <c r="AQ187" s="725">
        <v>14</v>
      </c>
      <c r="AR187" s="728">
        <v>0.77300000000000002</v>
      </c>
      <c r="AS187" s="729">
        <v>9</v>
      </c>
      <c r="AT187" s="728">
        <v>0</v>
      </c>
      <c r="AU187" s="730">
        <v>10</v>
      </c>
      <c r="AV187" s="731">
        <v>0.16600000000000001</v>
      </c>
      <c r="AW187" s="730">
        <v>8</v>
      </c>
      <c r="AX187" s="728">
        <v>0.14000000000000001</v>
      </c>
      <c r="AY187" s="730">
        <v>8</v>
      </c>
      <c r="AZ187" s="728">
        <v>4.5999999999999999E-2</v>
      </c>
      <c r="BA187" s="730">
        <v>9</v>
      </c>
      <c r="BB187" s="733">
        <v>0.16699999999999998</v>
      </c>
      <c r="BC187" s="730">
        <v>5</v>
      </c>
      <c r="BD187" s="6"/>
    </row>
    <row r="188" spans="7:56" s="704" customFormat="1" ht="15">
      <c r="G188" s="1546"/>
      <c r="W188" s="6"/>
      <c r="X188" s="87"/>
      <c r="Y188" s="87"/>
      <c r="Z188" s="739"/>
      <c r="AA188" s="739"/>
      <c r="AB188" s="743"/>
      <c r="AC188" s="108"/>
      <c r="AD188" s="108"/>
      <c r="AE188" s="770" t="s">
        <v>1113</v>
      </c>
      <c r="AF188" s="771" t="s">
        <v>1450</v>
      </c>
      <c r="AG188" s="108"/>
      <c r="AH188" s="454" t="s">
        <v>436</v>
      </c>
      <c r="AI188" s="455">
        <v>317</v>
      </c>
      <c r="AJ188" s="724">
        <v>6.7766323024054984E-2</v>
      </c>
      <c r="AK188" s="725">
        <v>18</v>
      </c>
      <c r="AL188" s="726">
        <v>50433</v>
      </c>
      <c r="AM188" s="725">
        <v>12</v>
      </c>
      <c r="AN188" s="727">
        <v>0.46200000000000002</v>
      </c>
      <c r="AO188" s="725">
        <v>12</v>
      </c>
      <c r="AP188" s="727">
        <v>6.9000000000000006E-2</v>
      </c>
      <c r="AQ188" s="725">
        <v>14</v>
      </c>
      <c r="AR188" s="728">
        <v>0.93599999999999994</v>
      </c>
      <c r="AS188" s="729">
        <v>10</v>
      </c>
      <c r="AT188" s="728">
        <v>2.2000000000000002E-2</v>
      </c>
      <c r="AU188" s="730">
        <v>8</v>
      </c>
      <c r="AV188" s="731">
        <v>0.152</v>
      </c>
      <c r="AW188" s="730">
        <v>9</v>
      </c>
      <c r="AX188" s="728">
        <v>0.122</v>
      </c>
      <c r="AY188" s="730">
        <v>8</v>
      </c>
      <c r="AZ188" s="728">
        <v>5.5999999999999994E-2</v>
      </c>
      <c r="BA188" s="730">
        <v>9</v>
      </c>
      <c r="BB188" s="733">
        <v>6.7000000000000004E-2</v>
      </c>
      <c r="BC188" s="730">
        <v>2</v>
      </c>
      <c r="BD188" s="6"/>
    </row>
    <row r="189" spans="7:56" s="704" customFormat="1" ht="15">
      <c r="G189" s="1546"/>
      <c r="W189" s="6"/>
      <c r="X189" s="87"/>
      <c r="Y189" s="87"/>
      <c r="Z189" s="739"/>
      <c r="AA189" s="739"/>
      <c r="AB189" s="743"/>
      <c r="AC189" s="108"/>
      <c r="AD189" s="108"/>
      <c r="AE189" s="770" t="s">
        <v>2530</v>
      </c>
      <c r="AF189" s="771" t="s">
        <v>653</v>
      </c>
      <c r="AG189" s="108"/>
      <c r="AH189" s="454" t="s">
        <v>436</v>
      </c>
      <c r="AI189" s="455">
        <v>318</v>
      </c>
      <c r="AJ189" s="724">
        <v>6.7766323024054984E-2</v>
      </c>
      <c r="AK189" s="725">
        <v>18</v>
      </c>
      <c r="AL189" s="726">
        <v>50433</v>
      </c>
      <c r="AM189" s="725">
        <v>12</v>
      </c>
      <c r="AN189" s="727">
        <v>0.46200000000000002</v>
      </c>
      <c r="AO189" s="725">
        <v>12</v>
      </c>
      <c r="AP189" s="727">
        <v>6.9000000000000006E-2</v>
      </c>
      <c r="AQ189" s="725">
        <v>14</v>
      </c>
      <c r="AR189" s="728">
        <v>0.81900000000000006</v>
      </c>
      <c r="AS189" s="729">
        <v>9</v>
      </c>
      <c r="AT189" s="728">
        <v>2.1000000000000001E-2</v>
      </c>
      <c r="AU189" s="730">
        <v>9</v>
      </c>
      <c r="AV189" s="731">
        <v>0.214</v>
      </c>
      <c r="AW189" s="730">
        <v>8</v>
      </c>
      <c r="AX189" s="728">
        <v>0.14800000000000002</v>
      </c>
      <c r="AY189" s="730">
        <v>8</v>
      </c>
      <c r="AZ189" s="728">
        <v>0.11599999999999999</v>
      </c>
      <c r="BA189" s="730">
        <v>7</v>
      </c>
      <c r="BB189" s="733">
        <v>7.0000000000000007E-2</v>
      </c>
      <c r="BC189" s="730">
        <v>2</v>
      </c>
      <c r="BD189" s="6"/>
    </row>
    <row r="190" spans="7:56" s="704" customFormat="1" ht="15">
      <c r="G190" s="1546"/>
      <c r="W190" s="6"/>
      <c r="X190" s="87"/>
      <c r="Y190" s="87"/>
      <c r="Z190" s="739"/>
      <c r="AA190" s="739"/>
      <c r="AB190" s="743"/>
      <c r="AC190" s="108"/>
      <c r="AD190" s="108"/>
      <c r="AE190" s="770" t="s">
        <v>1114</v>
      </c>
      <c r="AF190" s="771" t="s">
        <v>653</v>
      </c>
      <c r="AG190" s="108"/>
      <c r="AH190" s="454" t="s">
        <v>436</v>
      </c>
      <c r="AI190" s="455">
        <v>319</v>
      </c>
      <c r="AJ190" s="724">
        <v>6.7766323024054984E-2</v>
      </c>
      <c r="AK190" s="725">
        <v>18</v>
      </c>
      <c r="AL190" s="726">
        <v>50433</v>
      </c>
      <c r="AM190" s="725">
        <v>12</v>
      </c>
      <c r="AN190" s="727">
        <v>0.46200000000000002</v>
      </c>
      <c r="AO190" s="725">
        <v>12</v>
      </c>
      <c r="AP190" s="727">
        <v>6.9000000000000006E-2</v>
      </c>
      <c r="AQ190" s="725">
        <v>14</v>
      </c>
      <c r="AR190" s="728">
        <v>0.78</v>
      </c>
      <c r="AS190" s="729">
        <v>9</v>
      </c>
      <c r="AT190" s="728">
        <v>5.5E-2</v>
      </c>
      <c r="AU190" s="730">
        <v>5</v>
      </c>
      <c r="AV190" s="731">
        <v>0.11800000000000001</v>
      </c>
      <c r="AW190" s="730">
        <v>9</v>
      </c>
      <c r="AX190" s="728">
        <v>7.400000000000001E-2</v>
      </c>
      <c r="AY190" s="730">
        <v>9</v>
      </c>
      <c r="AZ190" s="728">
        <v>4.2000000000000003E-2</v>
      </c>
      <c r="BA190" s="730">
        <v>9</v>
      </c>
      <c r="BB190" s="733">
        <v>0.124</v>
      </c>
      <c r="BC190" s="730">
        <v>4</v>
      </c>
      <c r="BD190" s="6"/>
    </row>
    <row r="191" spans="7:56" s="704" customFormat="1" ht="15">
      <c r="G191" s="1546"/>
      <c r="W191" s="6"/>
      <c r="X191" s="87"/>
      <c r="Y191" s="87"/>
      <c r="Z191" s="739"/>
      <c r="AA191" s="739"/>
      <c r="AB191" s="743"/>
      <c r="AC191" s="108"/>
      <c r="AD191" s="108"/>
      <c r="AE191" s="770" t="s">
        <v>1115</v>
      </c>
      <c r="AF191" s="771" t="s">
        <v>653</v>
      </c>
      <c r="AG191" s="108"/>
      <c r="AH191" s="454" t="s">
        <v>436</v>
      </c>
      <c r="AI191" s="455">
        <v>320</v>
      </c>
      <c r="AJ191" s="724">
        <v>6.7766323024054984E-2</v>
      </c>
      <c r="AK191" s="725">
        <v>18</v>
      </c>
      <c r="AL191" s="726">
        <v>50433</v>
      </c>
      <c r="AM191" s="725">
        <v>12</v>
      </c>
      <c r="AN191" s="727">
        <v>0.46200000000000002</v>
      </c>
      <c r="AO191" s="725">
        <v>12</v>
      </c>
      <c r="AP191" s="727">
        <v>6.9000000000000006E-2</v>
      </c>
      <c r="AQ191" s="725">
        <v>14</v>
      </c>
      <c r="AR191" s="728">
        <v>0.873</v>
      </c>
      <c r="AS191" s="729">
        <v>10</v>
      </c>
      <c r="AT191" s="728">
        <v>0</v>
      </c>
      <c r="AU191" s="730">
        <v>10</v>
      </c>
      <c r="AV191" s="731">
        <v>0.23499999999999999</v>
      </c>
      <c r="AW191" s="730">
        <v>7</v>
      </c>
      <c r="AX191" s="728">
        <v>0.122</v>
      </c>
      <c r="AY191" s="730">
        <v>8</v>
      </c>
      <c r="AZ191" s="728">
        <v>0.161</v>
      </c>
      <c r="BA191" s="730">
        <v>5</v>
      </c>
      <c r="BB191" s="733">
        <v>7.0999999999999994E-2</v>
      </c>
      <c r="BC191" s="730">
        <v>2</v>
      </c>
      <c r="BD191" s="6"/>
    </row>
    <row r="192" spans="7:56" s="704" customFormat="1" ht="15">
      <c r="G192" s="1546"/>
      <c r="W192" s="6"/>
      <c r="X192" s="87"/>
      <c r="Y192" s="87"/>
      <c r="Z192" s="739"/>
      <c r="AA192" s="739"/>
      <c r="AB192" s="743"/>
      <c r="AC192" s="108"/>
      <c r="AD192" s="108"/>
      <c r="AE192" s="770" t="s">
        <v>1116</v>
      </c>
      <c r="AF192" s="771" t="s">
        <v>1450</v>
      </c>
      <c r="AG192" s="108"/>
      <c r="AH192" s="454" t="s">
        <v>436</v>
      </c>
      <c r="AI192" s="455">
        <v>321.01</v>
      </c>
      <c r="AJ192" s="724">
        <v>6.7766323024054984E-2</v>
      </c>
      <c r="AK192" s="725">
        <v>18</v>
      </c>
      <c r="AL192" s="726">
        <v>50433</v>
      </c>
      <c r="AM192" s="725">
        <v>12</v>
      </c>
      <c r="AN192" s="727">
        <v>0.46200000000000002</v>
      </c>
      <c r="AO192" s="725">
        <v>12</v>
      </c>
      <c r="AP192" s="727">
        <v>6.9000000000000006E-2</v>
      </c>
      <c r="AQ192" s="725">
        <v>14</v>
      </c>
      <c r="AR192" s="728">
        <v>0.68700000000000006</v>
      </c>
      <c r="AS192" s="729">
        <v>8</v>
      </c>
      <c r="AT192" s="728">
        <v>9.0000000000000011E-3</v>
      </c>
      <c r="AU192" s="730">
        <v>10</v>
      </c>
      <c r="AV192" s="731">
        <v>0.125</v>
      </c>
      <c r="AW192" s="730">
        <v>9</v>
      </c>
      <c r="AX192" s="728">
        <v>6.2E-2</v>
      </c>
      <c r="AY192" s="730">
        <v>9</v>
      </c>
      <c r="AZ192" s="728">
        <v>0.08</v>
      </c>
      <c r="BA192" s="730">
        <v>8</v>
      </c>
      <c r="BB192" s="733">
        <v>0.27399999999999997</v>
      </c>
      <c r="BC192" s="730">
        <v>8</v>
      </c>
      <c r="BD192" s="6"/>
    </row>
    <row r="193" spans="7:56" s="704" customFormat="1" ht="15">
      <c r="G193" s="1546"/>
      <c r="W193" s="6"/>
      <c r="X193" s="87"/>
      <c r="Y193" s="87"/>
      <c r="Z193" s="739"/>
      <c r="AA193" s="739"/>
      <c r="AB193" s="743"/>
      <c r="AC193" s="108"/>
      <c r="AD193" s="108"/>
      <c r="AE193" s="770" t="s">
        <v>1117</v>
      </c>
      <c r="AF193" s="771" t="s">
        <v>653</v>
      </c>
      <c r="AG193" s="108"/>
      <c r="AH193" s="454" t="s">
        <v>436</v>
      </c>
      <c r="AI193" s="455">
        <v>321.02</v>
      </c>
      <c r="AJ193" s="724">
        <v>6.7766323024054984E-2</v>
      </c>
      <c r="AK193" s="725">
        <v>18</v>
      </c>
      <c r="AL193" s="726">
        <v>50433</v>
      </c>
      <c r="AM193" s="725">
        <v>12</v>
      </c>
      <c r="AN193" s="727">
        <v>0.46200000000000002</v>
      </c>
      <c r="AO193" s="725">
        <v>12</v>
      </c>
      <c r="AP193" s="727">
        <v>6.9000000000000006E-2</v>
      </c>
      <c r="AQ193" s="725">
        <v>14</v>
      </c>
      <c r="AR193" s="728">
        <v>0.77300000000000002</v>
      </c>
      <c r="AS193" s="729">
        <v>9</v>
      </c>
      <c r="AT193" s="728">
        <v>0</v>
      </c>
      <c r="AU193" s="730">
        <v>10</v>
      </c>
      <c r="AV193" s="731">
        <v>4.2000000000000003E-2</v>
      </c>
      <c r="AW193" s="730">
        <v>10</v>
      </c>
      <c r="AX193" s="728">
        <v>0.01</v>
      </c>
      <c r="AY193" s="730">
        <v>10</v>
      </c>
      <c r="AZ193" s="728">
        <v>3.2000000000000001E-2</v>
      </c>
      <c r="BA193" s="730">
        <v>9</v>
      </c>
      <c r="BB193" s="733">
        <v>0.3</v>
      </c>
      <c r="BC193" s="730">
        <v>8</v>
      </c>
      <c r="BD193" s="6"/>
    </row>
    <row r="194" spans="7:56" s="704" customFormat="1" ht="15">
      <c r="G194" s="1546"/>
      <c r="W194" s="6"/>
      <c r="X194" s="87"/>
      <c r="Y194" s="87"/>
      <c r="Z194" s="739"/>
      <c r="AA194" s="739"/>
      <c r="AB194" s="743"/>
      <c r="AC194" s="108"/>
      <c r="AD194" s="108"/>
      <c r="AE194" s="770" t="s">
        <v>1118</v>
      </c>
      <c r="AF194" s="771" t="s">
        <v>1450</v>
      </c>
      <c r="AG194" s="108"/>
      <c r="AH194" s="454" t="s">
        <v>437</v>
      </c>
      <c r="AI194" s="455">
        <v>9632</v>
      </c>
      <c r="AJ194" s="724">
        <v>6.4368770764119607E-2</v>
      </c>
      <c r="AK194" s="725">
        <v>18</v>
      </c>
      <c r="AL194" s="726">
        <v>44783</v>
      </c>
      <c r="AM194" s="725">
        <v>14</v>
      </c>
      <c r="AN194" s="727">
        <v>0.4</v>
      </c>
      <c r="AO194" s="725">
        <v>8</v>
      </c>
      <c r="AP194" s="727">
        <v>7.2000000000000008E-2</v>
      </c>
      <c r="AQ194" s="725">
        <v>14</v>
      </c>
      <c r="AR194" s="728">
        <v>0.86799999999999999</v>
      </c>
      <c r="AS194" s="729">
        <v>10</v>
      </c>
      <c r="AT194" s="728">
        <v>1.7000000000000001E-2</v>
      </c>
      <c r="AU194" s="730">
        <v>9</v>
      </c>
      <c r="AV194" s="731">
        <v>0.19800000000000001</v>
      </c>
      <c r="AW194" s="730">
        <v>8</v>
      </c>
      <c r="AX194" s="728">
        <v>0.17300000000000001</v>
      </c>
      <c r="AY194" s="730">
        <v>8</v>
      </c>
      <c r="AZ194" s="728">
        <v>2.8999999999999998E-2</v>
      </c>
      <c r="BA194" s="730">
        <v>9</v>
      </c>
      <c r="BB194" s="733">
        <v>0.05</v>
      </c>
      <c r="BC194" s="730">
        <v>2</v>
      </c>
      <c r="BD194" s="6"/>
    </row>
    <row r="195" spans="7:56" s="704" customFormat="1" ht="15">
      <c r="G195" s="1546"/>
      <c r="W195" s="6"/>
      <c r="X195" s="87"/>
      <c r="Y195" s="87"/>
      <c r="Z195" s="739"/>
      <c r="AA195" s="739"/>
      <c r="AB195" s="743"/>
      <c r="AC195" s="108"/>
      <c r="AD195" s="108"/>
      <c r="AE195" s="770" t="s">
        <v>2531</v>
      </c>
      <c r="AF195" s="771" t="s">
        <v>653</v>
      </c>
      <c r="AG195" s="108"/>
      <c r="AH195" s="454" t="s">
        <v>437</v>
      </c>
      <c r="AI195" s="455">
        <v>9633</v>
      </c>
      <c r="AJ195" s="724">
        <v>6.4368770764119607E-2</v>
      </c>
      <c r="AK195" s="725">
        <v>18</v>
      </c>
      <c r="AL195" s="726">
        <v>44783</v>
      </c>
      <c r="AM195" s="725">
        <v>14</v>
      </c>
      <c r="AN195" s="727">
        <v>0.4</v>
      </c>
      <c r="AO195" s="725">
        <v>8</v>
      </c>
      <c r="AP195" s="727">
        <v>7.2000000000000008E-2</v>
      </c>
      <c r="AQ195" s="725">
        <v>14</v>
      </c>
      <c r="AR195" s="728">
        <v>0.69400000000000006</v>
      </c>
      <c r="AS195" s="729">
        <v>8</v>
      </c>
      <c r="AT195" s="728">
        <v>6.0000000000000001E-3</v>
      </c>
      <c r="AU195" s="730">
        <v>10</v>
      </c>
      <c r="AV195" s="731">
        <v>0.22500000000000001</v>
      </c>
      <c r="AW195" s="730">
        <v>8</v>
      </c>
      <c r="AX195" s="728">
        <v>0.21299999999999999</v>
      </c>
      <c r="AY195" s="730">
        <v>7</v>
      </c>
      <c r="AZ195" s="728">
        <v>0.03</v>
      </c>
      <c r="BA195" s="730">
        <v>9</v>
      </c>
      <c r="BB195" s="733">
        <v>0.13400000000000001</v>
      </c>
      <c r="BC195" s="730">
        <v>4</v>
      </c>
      <c r="BD195" s="6"/>
    </row>
    <row r="196" spans="7:56" s="704" customFormat="1" ht="15">
      <c r="G196" s="1546"/>
      <c r="W196" s="6"/>
      <c r="X196" s="87"/>
      <c r="Y196" s="87"/>
      <c r="Z196" s="739"/>
      <c r="AA196" s="739"/>
      <c r="AB196" s="743"/>
      <c r="AC196" s="108"/>
      <c r="AD196" s="108"/>
      <c r="AE196" s="770" t="s">
        <v>1119</v>
      </c>
      <c r="AF196" s="771" t="s">
        <v>1450</v>
      </c>
      <c r="AG196" s="108"/>
      <c r="AH196" s="454" t="s">
        <v>437</v>
      </c>
      <c r="AI196" s="455">
        <v>9634</v>
      </c>
      <c r="AJ196" s="724">
        <v>6.4368770764119607E-2</v>
      </c>
      <c r="AK196" s="725">
        <v>18</v>
      </c>
      <c r="AL196" s="726">
        <v>44783</v>
      </c>
      <c r="AM196" s="725">
        <v>14</v>
      </c>
      <c r="AN196" s="727">
        <v>0.4</v>
      </c>
      <c r="AO196" s="725">
        <v>8</v>
      </c>
      <c r="AP196" s="727">
        <v>7.2000000000000008E-2</v>
      </c>
      <c r="AQ196" s="725">
        <v>14</v>
      </c>
      <c r="AR196" s="728">
        <v>0.83599999999999997</v>
      </c>
      <c r="AS196" s="729">
        <v>9</v>
      </c>
      <c r="AT196" s="728">
        <v>2.8999999999999998E-2</v>
      </c>
      <c r="AU196" s="730">
        <v>8</v>
      </c>
      <c r="AV196" s="731">
        <v>0.20600000000000002</v>
      </c>
      <c r="AW196" s="730">
        <v>8</v>
      </c>
      <c r="AX196" s="728">
        <v>0.153</v>
      </c>
      <c r="AY196" s="730">
        <v>8</v>
      </c>
      <c r="AZ196" s="728">
        <v>5.5E-2</v>
      </c>
      <c r="BA196" s="730">
        <v>9</v>
      </c>
      <c r="BB196" s="733">
        <v>0.08</v>
      </c>
      <c r="BC196" s="730">
        <v>3</v>
      </c>
      <c r="BD196" s="6"/>
    </row>
    <row r="197" spans="7:56" s="704" customFormat="1" ht="15">
      <c r="G197" s="1546"/>
      <c r="W197" s="6"/>
      <c r="X197" s="87"/>
      <c r="Y197" s="87"/>
      <c r="Z197" s="739"/>
      <c r="AA197" s="739"/>
      <c r="AB197" s="743"/>
      <c r="AC197" s="108"/>
      <c r="AD197" s="108"/>
      <c r="AE197" s="770" t="s">
        <v>1120</v>
      </c>
      <c r="AF197" s="771" t="s">
        <v>1450</v>
      </c>
      <c r="AG197" s="108"/>
      <c r="AH197" s="454" t="s">
        <v>437</v>
      </c>
      <c r="AI197" s="455">
        <v>9635</v>
      </c>
      <c r="AJ197" s="724">
        <v>6.4368770764119607E-2</v>
      </c>
      <c r="AK197" s="725">
        <v>18</v>
      </c>
      <c r="AL197" s="726">
        <v>44783</v>
      </c>
      <c r="AM197" s="725">
        <v>14</v>
      </c>
      <c r="AN197" s="727">
        <v>0.4</v>
      </c>
      <c r="AO197" s="725">
        <v>8</v>
      </c>
      <c r="AP197" s="727">
        <v>7.2000000000000008E-2</v>
      </c>
      <c r="AQ197" s="725">
        <v>14</v>
      </c>
      <c r="AR197" s="728">
        <v>0.84400000000000008</v>
      </c>
      <c r="AS197" s="729">
        <v>9</v>
      </c>
      <c r="AT197" s="728">
        <v>2.5000000000000001E-2</v>
      </c>
      <c r="AU197" s="730">
        <v>8</v>
      </c>
      <c r="AV197" s="731">
        <v>0.10800000000000001</v>
      </c>
      <c r="AW197" s="730">
        <v>9</v>
      </c>
      <c r="AX197" s="728">
        <v>0.16500000000000001</v>
      </c>
      <c r="AY197" s="730">
        <v>8</v>
      </c>
      <c r="AZ197" s="728">
        <v>2.6000000000000002E-2</v>
      </c>
      <c r="BA197" s="730">
        <v>10</v>
      </c>
      <c r="BB197" s="733">
        <v>0.159</v>
      </c>
      <c r="BC197" s="730">
        <v>5</v>
      </c>
      <c r="BD197" s="6"/>
    </row>
    <row r="198" spans="7:56" s="704" customFormat="1" ht="15">
      <c r="G198" s="1546"/>
      <c r="W198" s="6"/>
      <c r="X198" s="87"/>
      <c r="Y198" s="87"/>
      <c r="Z198" s="739"/>
      <c r="AA198" s="739"/>
      <c r="AB198" s="743"/>
      <c r="AC198" s="108"/>
      <c r="AD198" s="108"/>
      <c r="AE198" s="770" t="s">
        <v>2532</v>
      </c>
      <c r="AF198" s="771" t="s">
        <v>1450</v>
      </c>
      <c r="AG198" s="108"/>
      <c r="AH198" s="454" t="s">
        <v>437</v>
      </c>
      <c r="AI198" s="455">
        <v>9636</v>
      </c>
      <c r="AJ198" s="724">
        <v>6.4368770764119607E-2</v>
      </c>
      <c r="AK198" s="725">
        <v>18</v>
      </c>
      <c r="AL198" s="726">
        <v>44783</v>
      </c>
      <c r="AM198" s="725">
        <v>14</v>
      </c>
      <c r="AN198" s="727">
        <v>0.4</v>
      </c>
      <c r="AO198" s="725">
        <v>8</v>
      </c>
      <c r="AP198" s="727">
        <v>7.2000000000000008E-2</v>
      </c>
      <c r="AQ198" s="725">
        <v>14</v>
      </c>
      <c r="AR198" s="728">
        <v>0.58599999999999997</v>
      </c>
      <c r="AS198" s="729">
        <v>7</v>
      </c>
      <c r="AT198" s="728">
        <v>6.0000000000000001E-3</v>
      </c>
      <c r="AU198" s="730">
        <v>10</v>
      </c>
      <c r="AV198" s="731">
        <v>0.183</v>
      </c>
      <c r="AW198" s="730">
        <v>8</v>
      </c>
      <c r="AX198" s="728">
        <v>0.19</v>
      </c>
      <c r="AY198" s="730">
        <v>7</v>
      </c>
      <c r="AZ198" s="728">
        <v>3.6000000000000004E-2</v>
      </c>
      <c r="BA198" s="730">
        <v>9</v>
      </c>
      <c r="BB198" s="733">
        <v>0.125</v>
      </c>
      <c r="BC198" s="730">
        <v>4</v>
      </c>
      <c r="BD198" s="6"/>
    </row>
    <row r="199" spans="7:56" s="704" customFormat="1" ht="15">
      <c r="G199" s="1546"/>
      <c r="W199" s="6"/>
      <c r="X199" s="87"/>
      <c r="Y199" s="87"/>
      <c r="Z199" s="739"/>
      <c r="AA199" s="739"/>
      <c r="AB199" s="743"/>
      <c r="AC199" s="108"/>
      <c r="AD199" s="108"/>
      <c r="AE199" s="770" t="s">
        <v>1121</v>
      </c>
      <c r="AF199" s="771" t="s">
        <v>1450</v>
      </c>
      <c r="AG199" s="108"/>
      <c r="AH199" s="454" t="s">
        <v>437</v>
      </c>
      <c r="AI199" s="455">
        <v>9637</v>
      </c>
      <c r="AJ199" s="724">
        <v>6.4368770764119607E-2</v>
      </c>
      <c r="AK199" s="725">
        <v>18</v>
      </c>
      <c r="AL199" s="726">
        <v>44783</v>
      </c>
      <c r="AM199" s="725">
        <v>14</v>
      </c>
      <c r="AN199" s="727">
        <v>0.4</v>
      </c>
      <c r="AO199" s="725">
        <v>8</v>
      </c>
      <c r="AP199" s="727">
        <v>7.2000000000000008E-2</v>
      </c>
      <c r="AQ199" s="725">
        <v>14</v>
      </c>
      <c r="AR199" s="728">
        <v>0.88200000000000001</v>
      </c>
      <c r="AS199" s="729">
        <v>10</v>
      </c>
      <c r="AT199" s="728">
        <v>0.01</v>
      </c>
      <c r="AU199" s="730">
        <v>10</v>
      </c>
      <c r="AV199" s="731">
        <v>6.3E-2</v>
      </c>
      <c r="AW199" s="730">
        <v>10</v>
      </c>
      <c r="AX199" s="728">
        <v>4.2000000000000003E-2</v>
      </c>
      <c r="AY199" s="730">
        <v>10</v>
      </c>
      <c r="AZ199" s="728">
        <v>0.05</v>
      </c>
      <c r="BA199" s="730">
        <v>9</v>
      </c>
      <c r="BB199" s="733">
        <v>0.11699999999999999</v>
      </c>
      <c r="BC199" s="730">
        <v>4</v>
      </c>
      <c r="BD199" s="6"/>
    </row>
    <row r="200" spans="7:56" s="704" customFormat="1" ht="15">
      <c r="G200" s="1546"/>
      <c r="W200" s="6"/>
      <c r="X200" s="87"/>
      <c r="Y200" s="87"/>
      <c r="Z200" s="739"/>
      <c r="AA200" s="739"/>
      <c r="AB200" s="743"/>
      <c r="AC200" s="108"/>
      <c r="AD200" s="108"/>
      <c r="AE200" s="770" t="s">
        <v>1122</v>
      </c>
      <c r="AF200" s="771" t="s">
        <v>1450</v>
      </c>
      <c r="AG200" s="108"/>
      <c r="AH200" s="454" t="s">
        <v>438</v>
      </c>
      <c r="AI200" s="455">
        <v>9722.01</v>
      </c>
      <c r="AJ200" s="724">
        <v>0.12388201712654615</v>
      </c>
      <c r="AK200" s="725">
        <v>6</v>
      </c>
      <c r="AL200" s="726">
        <v>76503</v>
      </c>
      <c r="AM200" s="725">
        <v>2</v>
      </c>
      <c r="AN200" s="727">
        <v>0.49700000000000005</v>
      </c>
      <c r="AO200" s="725">
        <v>12</v>
      </c>
      <c r="AP200" s="727">
        <v>5.5E-2</v>
      </c>
      <c r="AQ200" s="725">
        <v>16</v>
      </c>
      <c r="AR200" s="728">
        <v>0.81</v>
      </c>
      <c r="AS200" s="729">
        <v>9</v>
      </c>
      <c r="AT200" s="728">
        <v>1.7000000000000001E-2</v>
      </c>
      <c r="AU200" s="730">
        <v>9</v>
      </c>
      <c r="AV200" s="731">
        <v>6.5000000000000002E-2</v>
      </c>
      <c r="AW200" s="730">
        <v>10</v>
      </c>
      <c r="AX200" s="728">
        <v>2.3E-2</v>
      </c>
      <c r="AY200" s="730">
        <v>10</v>
      </c>
      <c r="AZ200" s="728">
        <v>3.3000000000000002E-2</v>
      </c>
      <c r="BA200" s="730">
        <v>9</v>
      </c>
      <c r="BB200" s="733">
        <v>0.26500000000000001</v>
      </c>
      <c r="BC200" s="730">
        <v>7</v>
      </c>
      <c r="BD200" s="6"/>
    </row>
    <row r="201" spans="7:56" s="704" customFormat="1" ht="15">
      <c r="G201" s="1546"/>
      <c r="W201" s="6"/>
      <c r="X201" s="87"/>
      <c r="Y201" s="87"/>
      <c r="Z201" s="739"/>
      <c r="AA201" s="739"/>
      <c r="AB201" s="743"/>
      <c r="AC201" s="108"/>
      <c r="AD201" s="108"/>
      <c r="AE201" s="770" t="s">
        <v>1123</v>
      </c>
      <c r="AF201" s="771" t="s">
        <v>652</v>
      </c>
      <c r="AG201" s="108"/>
      <c r="AH201" s="454" t="s">
        <v>438</v>
      </c>
      <c r="AI201" s="455">
        <v>9722.0300000000007</v>
      </c>
      <c r="AJ201" s="724">
        <v>0.12388201712654615</v>
      </c>
      <c r="AK201" s="725">
        <v>6</v>
      </c>
      <c r="AL201" s="726">
        <v>76503</v>
      </c>
      <c r="AM201" s="725">
        <v>2</v>
      </c>
      <c r="AN201" s="727">
        <v>0.49700000000000005</v>
      </c>
      <c r="AO201" s="725">
        <v>12</v>
      </c>
      <c r="AP201" s="727">
        <v>5.5E-2</v>
      </c>
      <c r="AQ201" s="725">
        <v>16</v>
      </c>
      <c r="AR201" s="728">
        <v>0.79400000000000004</v>
      </c>
      <c r="AS201" s="729">
        <v>9</v>
      </c>
      <c r="AT201" s="728">
        <v>0</v>
      </c>
      <c r="AU201" s="730">
        <v>10</v>
      </c>
      <c r="AV201" s="731">
        <v>9.1999999999999998E-2</v>
      </c>
      <c r="AW201" s="730">
        <v>9</v>
      </c>
      <c r="AX201" s="728">
        <v>7.0999999999999994E-2</v>
      </c>
      <c r="AY201" s="730">
        <v>9</v>
      </c>
      <c r="AZ201" s="728">
        <v>1.3000000000000001E-2</v>
      </c>
      <c r="BA201" s="730">
        <v>10</v>
      </c>
      <c r="BB201" s="733">
        <v>0.21299999999999999</v>
      </c>
      <c r="BC201" s="730">
        <v>6</v>
      </c>
      <c r="BD201" s="6"/>
    </row>
    <row r="202" spans="7:56" s="704" customFormat="1" ht="15">
      <c r="G202" s="1546"/>
      <c r="W202" s="6"/>
      <c r="X202" s="87"/>
      <c r="Y202" s="87"/>
      <c r="Z202" s="739"/>
      <c r="AA202" s="739"/>
      <c r="AB202" s="743"/>
      <c r="AC202" s="108"/>
      <c r="AD202" s="108"/>
      <c r="AE202" s="770" t="s">
        <v>1124</v>
      </c>
      <c r="AF202" s="771" t="s">
        <v>653</v>
      </c>
      <c r="AG202" s="108"/>
      <c r="AH202" s="454" t="s">
        <v>438</v>
      </c>
      <c r="AI202" s="455">
        <v>9722.0400000000009</v>
      </c>
      <c r="AJ202" s="724">
        <v>0.12388201712654615</v>
      </c>
      <c r="AK202" s="725">
        <v>6</v>
      </c>
      <c r="AL202" s="726">
        <v>76503</v>
      </c>
      <c r="AM202" s="725">
        <v>2</v>
      </c>
      <c r="AN202" s="727">
        <v>0.49700000000000005</v>
      </c>
      <c r="AO202" s="725">
        <v>12</v>
      </c>
      <c r="AP202" s="727">
        <v>5.5E-2</v>
      </c>
      <c r="AQ202" s="725">
        <v>16</v>
      </c>
      <c r="AR202" s="728">
        <v>0.54200000000000004</v>
      </c>
      <c r="AS202" s="729">
        <v>6</v>
      </c>
      <c r="AT202" s="728">
        <v>0</v>
      </c>
      <c r="AU202" s="730">
        <v>10</v>
      </c>
      <c r="AV202" s="731">
        <v>0.13600000000000001</v>
      </c>
      <c r="AW202" s="730">
        <v>9</v>
      </c>
      <c r="AX202" s="728">
        <v>0.157</v>
      </c>
      <c r="AY202" s="730">
        <v>8</v>
      </c>
      <c r="AZ202" s="728">
        <v>7.4999999999999997E-2</v>
      </c>
      <c r="BA202" s="730">
        <v>8</v>
      </c>
      <c r="BB202" s="733">
        <v>0.18899999999999997</v>
      </c>
      <c r="BC202" s="730">
        <v>5</v>
      </c>
      <c r="BD202" s="6"/>
    </row>
    <row r="203" spans="7:56" s="704" customFormat="1" ht="15">
      <c r="G203" s="1546"/>
      <c r="W203" s="6"/>
      <c r="X203" s="87"/>
      <c r="Y203" s="87"/>
      <c r="Z203" s="739"/>
      <c r="AA203" s="739"/>
      <c r="AB203" s="743"/>
      <c r="AC203" s="108"/>
      <c r="AD203" s="108"/>
      <c r="AE203" s="770" t="s">
        <v>1746</v>
      </c>
      <c r="AF203" s="771" t="s">
        <v>1450</v>
      </c>
      <c r="AG203" s="108"/>
      <c r="AH203" s="454" t="s">
        <v>438</v>
      </c>
      <c r="AI203" s="455">
        <v>9723</v>
      </c>
      <c r="AJ203" s="724">
        <v>0.12388201712654615</v>
      </c>
      <c r="AK203" s="725">
        <v>6</v>
      </c>
      <c r="AL203" s="726">
        <v>76503</v>
      </c>
      <c r="AM203" s="725">
        <v>2</v>
      </c>
      <c r="AN203" s="727">
        <v>0.49700000000000005</v>
      </c>
      <c r="AO203" s="725">
        <v>12</v>
      </c>
      <c r="AP203" s="727">
        <v>5.5E-2</v>
      </c>
      <c r="AQ203" s="725">
        <v>16</v>
      </c>
      <c r="AR203" s="728">
        <v>0.77700000000000002</v>
      </c>
      <c r="AS203" s="729">
        <v>9</v>
      </c>
      <c r="AT203" s="728">
        <v>0.01</v>
      </c>
      <c r="AU203" s="730">
        <v>10</v>
      </c>
      <c r="AV203" s="731">
        <v>9.0999999999999998E-2</v>
      </c>
      <c r="AW203" s="730">
        <v>9</v>
      </c>
      <c r="AX203" s="728">
        <v>0.154</v>
      </c>
      <c r="AY203" s="730">
        <v>8</v>
      </c>
      <c r="AZ203" s="728">
        <v>9.6000000000000002E-2</v>
      </c>
      <c r="BA203" s="730">
        <v>7</v>
      </c>
      <c r="BB203" s="733">
        <v>0.16600000000000001</v>
      </c>
      <c r="BC203" s="730">
        <v>5</v>
      </c>
      <c r="BD203" s="6"/>
    </row>
    <row r="204" spans="7:56" s="704" customFormat="1" ht="15">
      <c r="G204" s="1546"/>
      <c r="W204" s="6"/>
      <c r="X204" s="87"/>
      <c r="Y204" s="87"/>
      <c r="Z204" s="739"/>
      <c r="AA204" s="739"/>
      <c r="AB204" s="743"/>
      <c r="AC204" s="108"/>
      <c r="AD204" s="108"/>
      <c r="AE204" s="770" t="s">
        <v>1125</v>
      </c>
      <c r="AF204" s="771" t="s">
        <v>1450</v>
      </c>
      <c r="AG204" s="108"/>
      <c r="AH204" s="454" t="s">
        <v>438</v>
      </c>
      <c r="AI204" s="455">
        <v>9724.01</v>
      </c>
      <c r="AJ204" s="724">
        <v>0.12388201712654615</v>
      </c>
      <c r="AK204" s="725">
        <v>6</v>
      </c>
      <c r="AL204" s="726">
        <v>76503</v>
      </c>
      <c r="AM204" s="725">
        <v>2</v>
      </c>
      <c r="AN204" s="727">
        <v>0.49700000000000005</v>
      </c>
      <c r="AO204" s="725">
        <v>12</v>
      </c>
      <c r="AP204" s="727">
        <v>5.5E-2</v>
      </c>
      <c r="AQ204" s="725">
        <v>16</v>
      </c>
      <c r="AR204" s="728">
        <v>0.51500000000000001</v>
      </c>
      <c r="AS204" s="729">
        <v>6</v>
      </c>
      <c r="AT204" s="728">
        <v>6.5000000000000002E-2</v>
      </c>
      <c r="AU204" s="730">
        <v>5</v>
      </c>
      <c r="AV204" s="731">
        <v>0.27</v>
      </c>
      <c r="AW204" s="730">
        <v>7</v>
      </c>
      <c r="AX204" s="728">
        <v>0.23699999999999999</v>
      </c>
      <c r="AY204" s="730">
        <v>7</v>
      </c>
      <c r="AZ204" s="728">
        <v>0.14400000000000002</v>
      </c>
      <c r="BA204" s="730">
        <v>6</v>
      </c>
      <c r="BB204" s="733">
        <v>0.11699999999999999</v>
      </c>
      <c r="BC204" s="730">
        <v>4</v>
      </c>
      <c r="BD204" s="6"/>
    </row>
    <row r="205" spans="7:56" s="704" customFormat="1" ht="15">
      <c r="G205" s="1546"/>
      <c r="W205" s="6"/>
      <c r="X205" s="87"/>
      <c r="Y205" s="87"/>
      <c r="Z205" s="739"/>
      <c r="AA205" s="739"/>
      <c r="AB205" s="743"/>
      <c r="AC205" s="108"/>
      <c r="AD205" s="108"/>
      <c r="AE205" s="770" t="s">
        <v>1126</v>
      </c>
      <c r="AF205" s="771" t="s">
        <v>1450</v>
      </c>
      <c r="AG205" s="108"/>
      <c r="AH205" s="454" t="s">
        <v>438</v>
      </c>
      <c r="AI205" s="455">
        <v>9724.02</v>
      </c>
      <c r="AJ205" s="724">
        <v>0.12388201712654615</v>
      </c>
      <c r="AK205" s="725">
        <v>6</v>
      </c>
      <c r="AL205" s="726">
        <v>76503</v>
      </c>
      <c r="AM205" s="725">
        <v>2</v>
      </c>
      <c r="AN205" s="727">
        <v>0.49700000000000005</v>
      </c>
      <c r="AO205" s="725">
        <v>12</v>
      </c>
      <c r="AP205" s="727">
        <v>5.5E-2</v>
      </c>
      <c r="AQ205" s="725">
        <v>16</v>
      </c>
      <c r="AR205" s="728">
        <v>0.67200000000000004</v>
      </c>
      <c r="AS205" s="729">
        <v>8</v>
      </c>
      <c r="AT205" s="728">
        <v>5.5E-2</v>
      </c>
      <c r="AU205" s="730">
        <v>5</v>
      </c>
      <c r="AV205" s="731">
        <v>0.09</v>
      </c>
      <c r="AW205" s="730">
        <v>9</v>
      </c>
      <c r="AX205" s="728">
        <v>0.22</v>
      </c>
      <c r="AY205" s="730">
        <v>7</v>
      </c>
      <c r="AZ205" s="728">
        <v>6.7000000000000004E-2</v>
      </c>
      <c r="BA205" s="730">
        <v>8</v>
      </c>
      <c r="BB205" s="733">
        <v>0.14499999999999999</v>
      </c>
      <c r="BC205" s="730">
        <v>4</v>
      </c>
      <c r="BD205" s="6"/>
    </row>
    <row r="206" spans="7:56" s="704" customFormat="1" ht="15">
      <c r="G206" s="1546"/>
      <c r="W206" s="6"/>
      <c r="X206" s="87"/>
      <c r="Y206" s="87"/>
      <c r="Z206" s="739"/>
      <c r="AA206" s="739"/>
      <c r="AB206" s="743"/>
      <c r="AC206" s="108"/>
      <c r="AD206" s="108"/>
      <c r="AE206" s="770" t="s">
        <v>1127</v>
      </c>
      <c r="AF206" s="771" t="s">
        <v>653</v>
      </c>
      <c r="AG206" s="108"/>
      <c r="AH206" s="454" t="s">
        <v>438</v>
      </c>
      <c r="AI206" s="455">
        <v>9725.01</v>
      </c>
      <c r="AJ206" s="724">
        <v>0.12388201712654615</v>
      </c>
      <c r="AK206" s="725">
        <v>6</v>
      </c>
      <c r="AL206" s="726">
        <v>76503</v>
      </c>
      <c r="AM206" s="725">
        <v>2</v>
      </c>
      <c r="AN206" s="727">
        <v>0.49700000000000005</v>
      </c>
      <c r="AO206" s="725">
        <v>12</v>
      </c>
      <c r="AP206" s="727">
        <v>5.5E-2</v>
      </c>
      <c r="AQ206" s="725">
        <v>16</v>
      </c>
      <c r="AR206" s="728">
        <v>0.8909999999999999</v>
      </c>
      <c r="AS206" s="729">
        <v>10</v>
      </c>
      <c r="AT206" s="728">
        <v>0</v>
      </c>
      <c r="AU206" s="730">
        <v>10</v>
      </c>
      <c r="AV206" s="731">
        <v>3.7000000000000005E-2</v>
      </c>
      <c r="AW206" s="730">
        <v>10</v>
      </c>
      <c r="AX206" s="728">
        <v>0.02</v>
      </c>
      <c r="AY206" s="730">
        <v>10</v>
      </c>
      <c r="AZ206" s="728">
        <v>3.7000000000000005E-2</v>
      </c>
      <c r="BA206" s="730">
        <v>9</v>
      </c>
      <c r="BB206" s="733">
        <v>0.247</v>
      </c>
      <c r="BC206" s="730">
        <v>7</v>
      </c>
      <c r="BD206" s="6"/>
    </row>
    <row r="207" spans="7:56" s="704" customFormat="1" ht="15">
      <c r="G207" s="1546"/>
      <c r="W207" s="6"/>
      <c r="X207" s="87"/>
      <c r="Y207" s="87"/>
      <c r="Z207" s="739"/>
      <c r="AA207" s="739"/>
      <c r="AB207" s="743"/>
      <c r="AC207" s="108"/>
      <c r="AD207" s="108"/>
      <c r="AE207" s="770" t="s">
        <v>1128</v>
      </c>
      <c r="AF207" s="771" t="s">
        <v>653</v>
      </c>
      <c r="AG207" s="108"/>
      <c r="AH207" s="454" t="s">
        <v>438</v>
      </c>
      <c r="AI207" s="455">
        <v>9725.0300000000007</v>
      </c>
      <c r="AJ207" s="724">
        <v>0.12388201712654615</v>
      </c>
      <c r="AK207" s="725">
        <v>6</v>
      </c>
      <c r="AL207" s="726">
        <v>76503</v>
      </c>
      <c r="AM207" s="725">
        <v>2</v>
      </c>
      <c r="AN207" s="727">
        <v>0.49700000000000005</v>
      </c>
      <c r="AO207" s="725">
        <v>12</v>
      </c>
      <c r="AP207" s="727">
        <v>5.5E-2</v>
      </c>
      <c r="AQ207" s="725">
        <v>16</v>
      </c>
      <c r="AR207" s="728">
        <v>0.79500000000000004</v>
      </c>
      <c r="AS207" s="729">
        <v>9</v>
      </c>
      <c r="AT207" s="728">
        <v>1.6E-2</v>
      </c>
      <c r="AU207" s="730">
        <v>9</v>
      </c>
      <c r="AV207" s="731">
        <v>0.13500000000000001</v>
      </c>
      <c r="AW207" s="730">
        <v>9</v>
      </c>
      <c r="AX207" s="728">
        <v>0.14899999999999999</v>
      </c>
      <c r="AY207" s="730">
        <v>8</v>
      </c>
      <c r="AZ207" s="728">
        <v>2.6000000000000002E-2</v>
      </c>
      <c r="BA207" s="730">
        <v>10</v>
      </c>
      <c r="BB207" s="733">
        <v>0.22899999999999998</v>
      </c>
      <c r="BC207" s="730">
        <v>6</v>
      </c>
      <c r="BD207" s="6"/>
    </row>
    <row r="208" spans="7:56" s="704" customFormat="1" ht="15">
      <c r="G208" s="1546"/>
      <c r="W208" s="6"/>
      <c r="X208" s="87"/>
      <c r="Y208" s="87"/>
      <c r="Z208" s="739"/>
      <c r="AA208" s="739"/>
      <c r="AB208" s="743"/>
      <c r="AC208" s="108"/>
      <c r="AD208" s="108"/>
      <c r="AE208" s="770" t="s">
        <v>2782</v>
      </c>
      <c r="AF208" s="771" t="s">
        <v>652</v>
      </c>
      <c r="AG208" s="108"/>
      <c r="AH208" s="454" t="s">
        <v>438</v>
      </c>
      <c r="AI208" s="455">
        <v>9725.0499999999993</v>
      </c>
      <c r="AJ208" s="724">
        <v>0.12388201712654615</v>
      </c>
      <c r="AK208" s="725">
        <v>6</v>
      </c>
      <c r="AL208" s="726">
        <v>76503</v>
      </c>
      <c r="AM208" s="725">
        <v>2</v>
      </c>
      <c r="AN208" s="727">
        <v>0.49700000000000005</v>
      </c>
      <c r="AO208" s="725">
        <v>12</v>
      </c>
      <c r="AP208" s="727">
        <v>5.5E-2</v>
      </c>
      <c r="AQ208" s="725">
        <v>16</v>
      </c>
      <c r="AR208" s="728">
        <v>0.57200000000000006</v>
      </c>
      <c r="AS208" s="729">
        <v>6</v>
      </c>
      <c r="AT208" s="728">
        <v>1.2E-2</v>
      </c>
      <c r="AU208" s="730">
        <v>9</v>
      </c>
      <c r="AV208" s="731">
        <v>0.26500000000000001</v>
      </c>
      <c r="AW208" s="730">
        <v>7</v>
      </c>
      <c r="AX208" s="728">
        <v>0.152</v>
      </c>
      <c r="AY208" s="730">
        <v>8</v>
      </c>
      <c r="AZ208" s="728">
        <v>8.900000000000001E-2</v>
      </c>
      <c r="BA208" s="730">
        <v>7</v>
      </c>
      <c r="BB208" s="733">
        <v>0.153</v>
      </c>
      <c r="BC208" s="730">
        <v>4</v>
      </c>
      <c r="BD208" s="6"/>
    </row>
    <row r="209" spans="7:56" s="704" customFormat="1" ht="15">
      <c r="G209" s="1546"/>
      <c r="W209" s="6"/>
      <c r="X209" s="87"/>
      <c r="Y209" s="87"/>
      <c r="Z209" s="739"/>
      <c r="AA209" s="739"/>
      <c r="AB209" s="743"/>
      <c r="AC209" s="108"/>
      <c r="AD209" s="108"/>
      <c r="AE209" s="770" t="s">
        <v>1129</v>
      </c>
      <c r="AF209" s="771" t="s">
        <v>1450</v>
      </c>
      <c r="AG209" s="108"/>
      <c r="AH209" s="454" t="s">
        <v>438</v>
      </c>
      <c r="AI209" s="455">
        <v>9725.06</v>
      </c>
      <c r="AJ209" s="724">
        <v>0.12388201712654615</v>
      </c>
      <c r="AK209" s="725">
        <v>6</v>
      </c>
      <c r="AL209" s="726">
        <v>76503</v>
      </c>
      <c r="AM209" s="725">
        <v>2</v>
      </c>
      <c r="AN209" s="727">
        <v>0.49700000000000005</v>
      </c>
      <c r="AO209" s="725">
        <v>12</v>
      </c>
      <c r="AP209" s="727">
        <v>5.5E-2</v>
      </c>
      <c r="AQ209" s="725">
        <v>16</v>
      </c>
      <c r="AR209" s="728">
        <v>0.58799999999999997</v>
      </c>
      <c r="AS209" s="729">
        <v>7</v>
      </c>
      <c r="AT209" s="728">
        <v>0</v>
      </c>
      <c r="AU209" s="730">
        <v>10</v>
      </c>
      <c r="AV209" s="731">
        <v>0.10400000000000001</v>
      </c>
      <c r="AW209" s="730">
        <v>9</v>
      </c>
      <c r="AX209" s="728">
        <v>0.121</v>
      </c>
      <c r="AY209" s="730">
        <v>8</v>
      </c>
      <c r="AZ209" s="728">
        <v>7.0999999999999994E-2</v>
      </c>
      <c r="BA209" s="730">
        <v>8</v>
      </c>
      <c r="BB209" s="733">
        <v>0.22</v>
      </c>
      <c r="BC209" s="730">
        <v>6</v>
      </c>
      <c r="BD209" s="6"/>
    </row>
    <row r="210" spans="7:56" s="704" customFormat="1" ht="15">
      <c r="G210" s="1546"/>
      <c r="W210" s="6"/>
      <c r="X210" s="87"/>
      <c r="Y210" s="87"/>
      <c r="Z210" s="739"/>
      <c r="AA210" s="739"/>
      <c r="AB210" s="743"/>
      <c r="AC210" s="108"/>
      <c r="AD210" s="108"/>
      <c r="AE210" s="770" t="s">
        <v>2783</v>
      </c>
      <c r="AF210" s="771" t="s">
        <v>653</v>
      </c>
      <c r="AG210" s="108"/>
      <c r="AH210" s="454" t="s">
        <v>438</v>
      </c>
      <c r="AI210" s="455">
        <v>9726.01</v>
      </c>
      <c r="AJ210" s="724">
        <v>0.12388201712654615</v>
      </c>
      <c r="AK210" s="725">
        <v>6</v>
      </c>
      <c r="AL210" s="726">
        <v>76503</v>
      </c>
      <c r="AM210" s="725">
        <v>2</v>
      </c>
      <c r="AN210" s="727">
        <v>0.49700000000000005</v>
      </c>
      <c r="AO210" s="725">
        <v>12</v>
      </c>
      <c r="AP210" s="727">
        <v>5.5E-2</v>
      </c>
      <c r="AQ210" s="725">
        <v>16</v>
      </c>
      <c r="AR210" s="728">
        <v>0.74199999999999999</v>
      </c>
      <c r="AS210" s="729">
        <v>8</v>
      </c>
      <c r="AT210" s="728">
        <v>9.0000000000000011E-3</v>
      </c>
      <c r="AU210" s="730">
        <v>10</v>
      </c>
      <c r="AV210" s="731">
        <v>8.1000000000000003E-2</v>
      </c>
      <c r="AW210" s="730">
        <v>9</v>
      </c>
      <c r="AX210" s="728">
        <v>0.14000000000000001</v>
      </c>
      <c r="AY210" s="730">
        <v>8</v>
      </c>
      <c r="AZ210" s="728">
        <v>6.7000000000000004E-2</v>
      </c>
      <c r="BA210" s="730">
        <v>8</v>
      </c>
      <c r="BB210" s="733">
        <v>0.21199999999999999</v>
      </c>
      <c r="BC210" s="730">
        <v>6</v>
      </c>
      <c r="BD210" s="6"/>
    </row>
    <row r="211" spans="7:56" s="704" customFormat="1" ht="15">
      <c r="G211" s="1546"/>
      <c r="W211" s="6"/>
      <c r="X211" s="87"/>
      <c r="Y211" s="87"/>
      <c r="Z211" s="739"/>
      <c r="AA211" s="739"/>
      <c r="AB211" s="743"/>
      <c r="AC211" s="108"/>
      <c r="AD211" s="108"/>
      <c r="AE211" s="770" t="s">
        <v>1747</v>
      </c>
      <c r="AF211" s="771" t="s">
        <v>1450</v>
      </c>
      <c r="AG211" s="108"/>
      <c r="AH211" s="454" t="s">
        <v>438</v>
      </c>
      <c r="AI211" s="455">
        <v>9726.02</v>
      </c>
      <c r="AJ211" s="724">
        <v>0.12388201712654615</v>
      </c>
      <c r="AK211" s="725">
        <v>6</v>
      </c>
      <c r="AL211" s="726">
        <v>76503</v>
      </c>
      <c r="AM211" s="725">
        <v>2</v>
      </c>
      <c r="AN211" s="727">
        <v>0.49700000000000005</v>
      </c>
      <c r="AO211" s="725">
        <v>12</v>
      </c>
      <c r="AP211" s="727">
        <v>5.5E-2</v>
      </c>
      <c r="AQ211" s="725">
        <v>16</v>
      </c>
      <c r="AR211" s="728">
        <v>0.94400000000000006</v>
      </c>
      <c r="AS211" s="729">
        <v>10</v>
      </c>
      <c r="AT211" s="728">
        <v>2.1000000000000001E-2</v>
      </c>
      <c r="AU211" s="730">
        <v>9</v>
      </c>
      <c r="AV211" s="731">
        <v>6.9999999999999993E-3</v>
      </c>
      <c r="AW211" s="730">
        <v>10</v>
      </c>
      <c r="AX211" s="728">
        <v>4.5999999999999999E-2</v>
      </c>
      <c r="AY211" s="730">
        <v>10</v>
      </c>
      <c r="AZ211" s="728">
        <v>6.6000000000000003E-2</v>
      </c>
      <c r="BA211" s="730">
        <v>8</v>
      </c>
      <c r="BB211" s="733">
        <v>0.23899999999999999</v>
      </c>
      <c r="BC211" s="730">
        <v>7</v>
      </c>
      <c r="BD211" s="6"/>
    </row>
    <row r="212" spans="7:56" s="704" customFormat="1" ht="15">
      <c r="G212" s="1546"/>
      <c r="W212" s="6"/>
      <c r="X212" s="87"/>
      <c r="Y212" s="87"/>
      <c r="Z212" s="739"/>
      <c r="AA212" s="739"/>
      <c r="AB212" s="743"/>
      <c r="AC212" s="108"/>
      <c r="AD212" s="108"/>
      <c r="AE212" s="770" t="s">
        <v>1130</v>
      </c>
      <c r="AF212" s="771" t="s">
        <v>653</v>
      </c>
      <c r="AG212" s="108"/>
      <c r="AH212" s="454" t="s">
        <v>438</v>
      </c>
      <c r="AI212" s="455">
        <v>9727.01</v>
      </c>
      <c r="AJ212" s="724">
        <v>0.12388201712654615</v>
      </c>
      <c r="AK212" s="725">
        <v>6</v>
      </c>
      <c r="AL212" s="726">
        <v>76503</v>
      </c>
      <c r="AM212" s="725">
        <v>2</v>
      </c>
      <c r="AN212" s="727">
        <v>0.49700000000000005</v>
      </c>
      <c r="AO212" s="725">
        <v>12</v>
      </c>
      <c r="AP212" s="727">
        <v>5.5E-2</v>
      </c>
      <c r="AQ212" s="725">
        <v>16</v>
      </c>
      <c r="AR212" s="728">
        <v>0.69099999999999995</v>
      </c>
      <c r="AS212" s="729">
        <v>8</v>
      </c>
      <c r="AT212" s="728">
        <v>4.0999999999999995E-2</v>
      </c>
      <c r="AU212" s="730">
        <v>7</v>
      </c>
      <c r="AV212" s="731">
        <v>0.17399999999999999</v>
      </c>
      <c r="AW212" s="730">
        <v>8</v>
      </c>
      <c r="AX212" s="728">
        <v>0.16899999999999998</v>
      </c>
      <c r="AY212" s="730">
        <v>8</v>
      </c>
      <c r="AZ212" s="728">
        <v>8.5999999999999993E-2</v>
      </c>
      <c r="BA212" s="730">
        <v>8</v>
      </c>
      <c r="BB212" s="733">
        <v>6.8000000000000005E-2</v>
      </c>
      <c r="BC212" s="730">
        <v>2</v>
      </c>
      <c r="BD212" s="6"/>
    </row>
    <row r="213" spans="7:56" s="704" customFormat="1" ht="15">
      <c r="G213" s="1546"/>
      <c r="W213" s="6"/>
      <c r="X213" s="87"/>
      <c r="Y213" s="87"/>
      <c r="Z213" s="739"/>
      <c r="AA213" s="739"/>
      <c r="AB213" s="743"/>
      <c r="AC213" s="108"/>
      <c r="AD213" s="108"/>
      <c r="AE213" s="770" t="s">
        <v>1131</v>
      </c>
      <c r="AF213" s="771" t="s">
        <v>1450</v>
      </c>
      <c r="AG213" s="108"/>
      <c r="AH213" s="454" t="s">
        <v>438</v>
      </c>
      <c r="AI213" s="455">
        <v>9727.02</v>
      </c>
      <c r="AJ213" s="724">
        <v>0.12388201712654615</v>
      </c>
      <c r="AK213" s="725">
        <v>6</v>
      </c>
      <c r="AL213" s="726">
        <v>76503</v>
      </c>
      <c r="AM213" s="725">
        <v>2</v>
      </c>
      <c r="AN213" s="727">
        <v>0.49700000000000005</v>
      </c>
      <c r="AO213" s="725">
        <v>12</v>
      </c>
      <c r="AP213" s="727">
        <v>5.5E-2</v>
      </c>
      <c r="AQ213" s="725">
        <v>16</v>
      </c>
      <c r="AR213" s="728">
        <v>0.83799999999999997</v>
      </c>
      <c r="AS213" s="729">
        <v>9</v>
      </c>
      <c r="AT213" s="728">
        <v>8.0000000000000002E-3</v>
      </c>
      <c r="AU213" s="730">
        <v>10</v>
      </c>
      <c r="AV213" s="731">
        <v>8.4000000000000005E-2</v>
      </c>
      <c r="AW213" s="730">
        <v>9</v>
      </c>
      <c r="AX213" s="728">
        <v>7.5999999999999998E-2</v>
      </c>
      <c r="AY213" s="730">
        <v>9</v>
      </c>
      <c r="AZ213" s="728">
        <v>6.4000000000000001E-2</v>
      </c>
      <c r="BA213" s="730">
        <v>8</v>
      </c>
      <c r="BB213" s="733">
        <v>0.14199999999999999</v>
      </c>
      <c r="BC213" s="730">
        <v>4</v>
      </c>
      <c r="BD213" s="6"/>
    </row>
    <row r="214" spans="7:56" s="704" customFormat="1" ht="15">
      <c r="G214" s="1546"/>
      <c r="W214" s="6"/>
      <c r="X214" s="87"/>
      <c r="Y214" s="87"/>
      <c r="Z214" s="739"/>
      <c r="AA214" s="739"/>
      <c r="AB214" s="743"/>
      <c r="AC214" s="108"/>
      <c r="AD214" s="108"/>
      <c r="AE214" s="770" t="s">
        <v>1132</v>
      </c>
      <c r="AF214" s="771" t="s">
        <v>1450</v>
      </c>
      <c r="AG214" s="108"/>
      <c r="AH214" s="454" t="s">
        <v>438</v>
      </c>
      <c r="AI214" s="455">
        <v>9728</v>
      </c>
      <c r="AJ214" s="724">
        <v>0.12388201712654615</v>
      </c>
      <c r="AK214" s="725">
        <v>6</v>
      </c>
      <c r="AL214" s="726">
        <v>76503</v>
      </c>
      <c r="AM214" s="725">
        <v>2</v>
      </c>
      <c r="AN214" s="727">
        <v>0.49700000000000005</v>
      </c>
      <c r="AO214" s="725">
        <v>12</v>
      </c>
      <c r="AP214" s="727">
        <v>5.5E-2</v>
      </c>
      <c r="AQ214" s="725">
        <v>16</v>
      </c>
      <c r="AR214" s="728">
        <v>0.83</v>
      </c>
      <c r="AS214" s="729">
        <v>9</v>
      </c>
      <c r="AT214" s="728">
        <v>9.0000000000000011E-3</v>
      </c>
      <c r="AU214" s="730">
        <v>10</v>
      </c>
      <c r="AV214" s="731">
        <v>4.2999999999999997E-2</v>
      </c>
      <c r="AW214" s="730">
        <v>10</v>
      </c>
      <c r="AX214" s="728">
        <v>0.10199999999999999</v>
      </c>
      <c r="AY214" s="730">
        <v>9</v>
      </c>
      <c r="AZ214" s="728">
        <v>1.9E-2</v>
      </c>
      <c r="BA214" s="730">
        <v>10</v>
      </c>
      <c r="BB214" s="733">
        <v>0.183</v>
      </c>
      <c r="BC214" s="730">
        <v>5</v>
      </c>
      <c r="BD214" s="6"/>
    </row>
    <row r="215" spans="7:56" s="704" customFormat="1" ht="15">
      <c r="G215" s="1546"/>
      <c r="W215" s="6"/>
      <c r="X215" s="87"/>
      <c r="Y215" s="87"/>
      <c r="Z215" s="739"/>
      <c r="AA215" s="739"/>
      <c r="AB215" s="743"/>
      <c r="AC215" s="108"/>
      <c r="AD215" s="108"/>
      <c r="AE215" s="770" t="s">
        <v>1133</v>
      </c>
      <c r="AF215" s="771" t="s">
        <v>653</v>
      </c>
      <c r="AG215" s="108"/>
      <c r="AH215" s="454" t="s">
        <v>439</v>
      </c>
      <c r="AI215" s="455">
        <v>1</v>
      </c>
      <c r="AJ215" s="724">
        <v>9.2935902096207446E-2</v>
      </c>
      <c r="AK215" s="725">
        <v>12</v>
      </c>
      <c r="AL215" s="726">
        <v>45426</v>
      </c>
      <c r="AM215" s="725">
        <v>14</v>
      </c>
      <c r="AN215" s="727">
        <v>0.45500000000000002</v>
      </c>
      <c r="AO215" s="725">
        <v>10</v>
      </c>
      <c r="AP215" s="727">
        <v>6.8000000000000005E-2</v>
      </c>
      <c r="AQ215" s="725">
        <v>14</v>
      </c>
      <c r="AR215" s="728">
        <v>0.36499999999999999</v>
      </c>
      <c r="AS215" s="729">
        <v>4</v>
      </c>
      <c r="AT215" s="728">
        <v>6.9999999999999993E-3</v>
      </c>
      <c r="AU215" s="730">
        <v>10</v>
      </c>
      <c r="AV215" s="731">
        <v>0.441</v>
      </c>
      <c r="AW215" s="730">
        <v>5</v>
      </c>
      <c r="AX215" s="728">
        <v>0.379</v>
      </c>
      <c r="AY215" s="730">
        <v>4</v>
      </c>
      <c r="AZ215" s="728">
        <v>0.11699999999999999</v>
      </c>
      <c r="BA215" s="730">
        <v>7</v>
      </c>
      <c r="BB215" s="733">
        <v>4.7E-2</v>
      </c>
      <c r="BC215" s="730">
        <v>2</v>
      </c>
      <c r="BD215" s="6"/>
    </row>
    <row r="216" spans="7:56" s="704" customFormat="1" ht="15">
      <c r="G216" s="1546"/>
      <c r="W216" s="6"/>
      <c r="X216" s="87"/>
      <c r="Y216" s="87"/>
      <c r="Z216" s="739"/>
      <c r="AA216" s="739"/>
      <c r="AB216" s="743"/>
      <c r="AC216" s="108"/>
      <c r="AD216" s="108"/>
      <c r="AE216" s="770" t="s">
        <v>1134</v>
      </c>
      <c r="AF216" s="771" t="s">
        <v>1450</v>
      </c>
      <c r="AG216" s="108"/>
      <c r="AH216" s="454" t="s">
        <v>439</v>
      </c>
      <c r="AI216" s="455">
        <v>2</v>
      </c>
      <c r="AJ216" s="724">
        <v>9.2935902096207446E-2</v>
      </c>
      <c r="AK216" s="725">
        <v>12</v>
      </c>
      <c r="AL216" s="726">
        <v>45426</v>
      </c>
      <c r="AM216" s="725">
        <v>14</v>
      </c>
      <c r="AN216" s="727">
        <v>0.45500000000000002</v>
      </c>
      <c r="AO216" s="725">
        <v>10</v>
      </c>
      <c r="AP216" s="727">
        <v>6.8000000000000005E-2</v>
      </c>
      <c r="AQ216" s="725">
        <v>14</v>
      </c>
      <c r="AR216" s="728">
        <v>0.53200000000000003</v>
      </c>
      <c r="AS216" s="729">
        <v>6</v>
      </c>
      <c r="AT216" s="728">
        <v>0</v>
      </c>
      <c r="AU216" s="730">
        <v>10</v>
      </c>
      <c r="AV216" s="731">
        <v>0.36099999999999999</v>
      </c>
      <c r="AW216" s="730">
        <v>6</v>
      </c>
      <c r="AX216" s="728">
        <v>0.23399999999999999</v>
      </c>
      <c r="AY216" s="730">
        <v>7</v>
      </c>
      <c r="AZ216" s="728">
        <v>0.10300000000000001</v>
      </c>
      <c r="BA216" s="730">
        <v>7</v>
      </c>
      <c r="BB216" s="733">
        <v>8.8000000000000009E-2</v>
      </c>
      <c r="BC216" s="730">
        <v>3</v>
      </c>
      <c r="BD216" s="6"/>
    </row>
    <row r="217" spans="7:56" s="704" customFormat="1" ht="15">
      <c r="G217" s="1546"/>
      <c r="W217" s="6"/>
      <c r="X217" s="87"/>
      <c r="Y217" s="87"/>
      <c r="Z217" s="739"/>
      <c r="AA217" s="739"/>
      <c r="AB217" s="743"/>
      <c r="AC217" s="108"/>
      <c r="AD217" s="108"/>
      <c r="AE217" s="770" t="s">
        <v>1135</v>
      </c>
      <c r="AF217" s="771" t="s">
        <v>653</v>
      </c>
      <c r="AG217" s="108"/>
      <c r="AH217" s="454" t="s">
        <v>439</v>
      </c>
      <c r="AI217" s="455">
        <v>3</v>
      </c>
      <c r="AJ217" s="724">
        <v>9.2935902096207446E-2</v>
      </c>
      <c r="AK217" s="725">
        <v>12</v>
      </c>
      <c r="AL217" s="726">
        <v>45426</v>
      </c>
      <c r="AM217" s="725">
        <v>14</v>
      </c>
      <c r="AN217" s="727">
        <v>0.45500000000000002</v>
      </c>
      <c r="AO217" s="725">
        <v>10</v>
      </c>
      <c r="AP217" s="727">
        <v>6.8000000000000005E-2</v>
      </c>
      <c r="AQ217" s="725">
        <v>14</v>
      </c>
      <c r="AR217" s="728">
        <v>0.73599999999999999</v>
      </c>
      <c r="AS217" s="729">
        <v>8</v>
      </c>
      <c r="AT217" s="728">
        <v>2.7999999999999997E-2</v>
      </c>
      <c r="AU217" s="730">
        <v>8</v>
      </c>
      <c r="AV217" s="731">
        <v>0.24399999999999999</v>
      </c>
      <c r="AW217" s="730">
        <v>7</v>
      </c>
      <c r="AX217" s="728">
        <v>0.17499999999999999</v>
      </c>
      <c r="AY217" s="730">
        <v>8</v>
      </c>
      <c r="AZ217" s="728">
        <v>0.06</v>
      </c>
      <c r="BA217" s="730">
        <v>8</v>
      </c>
      <c r="BB217" s="733">
        <v>8.6999999999999994E-2</v>
      </c>
      <c r="BC217" s="730">
        <v>3</v>
      </c>
      <c r="BD217" s="6"/>
    </row>
    <row r="218" spans="7:56" s="704" customFormat="1" ht="15">
      <c r="G218" s="1546"/>
      <c r="W218" s="6"/>
      <c r="X218" s="87"/>
      <c r="Y218" s="87"/>
      <c r="Z218" s="739"/>
      <c r="AA218" s="739"/>
      <c r="AB218" s="743"/>
      <c r="AC218" s="108"/>
      <c r="AD218" s="108"/>
      <c r="AE218" s="770" t="s">
        <v>1136</v>
      </c>
      <c r="AF218" s="771" t="s">
        <v>653</v>
      </c>
      <c r="AG218" s="108"/>
      <c r="AH218" s="454" t="s">
        <v>439</v>
      </c>
      <c r="AI218" s="455">
        <v>5</v>
      </c>
      <c r="AJ218" s="724">
        <v>9.2935902096207446E-2</v>
      </c>
      <c r="AK218" s="725">
        <v>12</v>
      </c>
      <c r="AL218" s="726">
        <v>45426</v>
      </c>
      <c r="AM218" s="725">
        <v>14</v>
      </c>
      <c r="AN218" s="727">
        <v>0.45500000000000002</v>
      </c>
      <c r="AO218" s="725">
        <v>10</v>
      </c>
      <c r="AP218" s="727">
        <v>6.8000000000000005E-2</v>
      </c>
      <c r="AQ218" s="725">
        <v>14</v>
      </c>
      <c r="AR218" s="728">
        <v>0.52700000000000002</v>
      </c>
      <c r="AS218" s="729">
        <v>6</v>
      </c>
      <c r="AT218" s="728">
        <v>0</v>
      </c>
      <c r="AU218" s="730">
        <v>10</v>
      </c>
      <c r="AV218" s="731">
        <v>0.12300000000000001</v>
      </c>
      <c r="AW218" s="730">
        <v>9</v>
      </c>
      <c r="AX218" s="728">
        <v>8.199999999999999E-2</v>
      </c>
      <c r="AY218" s="730">
        <v>9</v>
      </c>
      <c r="AZ218" s="728">
        <v>0.08</v>
      </c>
      <c r="BA218" s="730">
        <v>8</v>
      </c>
      <c r="BB218" s="733">
        <v>0.19399999999999998</v>
      </c>
      <c r="BC218" s="730">
        <v>6</v>
      </c>
      <c r="BD218" s="6"/>
    </row>
    <row r="219" spans="7:56" s="704" customFormat="1" ht="15">
      <c r="G219" s="1546"/>
      <c r="W219" s="6"/>
      <c r="X219" s="87"/>
      <c r="Y219" s="87"/>
      <c r="Z219" s="739"/>
      <c r="AA219" s="739"/>
      <c r="AB219" s="743"/>
      <c r="AC219" s="108"/>
      <c r="AD219" s="108"/>
      <c r="AE219" s="770" t="s">
        <v>1137</v>
      </c>
      <c r="AF219" s="771" t="s">
        <v>653</v>
      </c>
      <c r="AG219" s="108"/>
      <c r="AH219" s="454" t="s">
        <v>439</v>
      </c>
      <c r="AI219" s="455">
        <v>6</v>
      </c>
      <c r="AJ219" s="724">
        <v>9.2935902096207446E-2</v>
      </c>
      <c r="AK219" s="725">
        <v>12</v>
      </c>
      <c r="AL219" s="726">
        <v>45426</v>
      </c>
      <c r="AM219" s="725">
        <v>14</v>
      </c>
      <c r="AN219" s="727">
        <v>0.45500000000000002</v>
      </c>
      <c r="AO219" s="725">
        <v>10</v>
      </c>
      <c r="AP219" s="727">
        <v>6.8000000000000005E-2</v>
      </c>
      <c r="AQ219" s="725">
        <v>14</v>
      </c>
      <c r="AR219" s="728">
        <v>0.58799999999999997</v>
      </c>
      <c r="AS219" s="729">
        <v>7</v>
      </c>
      <c r="AT219" s="728">
        <v>6.0000000000000001E-3</v>
      </c>
      <c r="AU219" s="730">
        <v>10</v>
      </c>
      <c r="AV219" s="731">
        <v>0.16200000000000001</v>
      </c>
      <c r="AW219" s="730">
        <v>8</v>
      </c>
      <c r="AX219" s="728">
        <v>0.193</v>
      </c>
      <c r="AY219" s="730">
        <v>7</v>
      </c>
      <c r="AZ219" s="728">
        <v>5.5999999999999994E-2</v>
      </c>
      <c r="BA219" s="730">
        <v>9</v>
      </c>
      <c r="BB219" s="733">
        <v>0.124</v>
      </c>
      <c r="BC219" s="730">
        <v>4</v>
      </c>
      <c r="BD219" s="6"/>
    </row>
    <row r="220" spans="7:56" s="704" customFormat="1" ht="15">
      <c r="G220" s="1546"/>
      <c r="W220" s="6"/>
      <c r="X220" s="87"/>
      <c r="Y220" s="87"/>
      <c r="Z220" s="739"/>
      <c r="AA220" s="739"/>
      <c r="AB220" s="743"/>
      <c r="AC220" s="108"/>
      <c r="AD220" s="108"/>
      <c r="AE220" s="770" t="s">
        <v>1138</v>
      </c>
      <c r="AF220" s="771" t="s">
        <v>652</v>
      </c>
      <c r="AG220" s="108"/>
      <c r="AH220" s="454" t="s">
        <v>439</v>
      </c>
      <c r="AI220" s="455">
        <v>7</v>
      </c>
      <c r="AJ220" s="724">
        <v>9.2935902096207446E-2</v>
      </c>
      <c r="AK220" s="725">
        <v>12</v>
      </c>
      <c r="AL220" s="726">
        <v>45426</v>
      </c>
      <c r="AM220" s="725">
        <v>14</v>
      </c>
      <c r="AN220" s="727">
        <v>0.45500000000000002</v>
      </c>
      <c r="AO220" s="725">
        <v>10</v>
      </c>
      <c r="AP220" s="727">
        <v>6.8000000000000005E-2</v>
      </c>
      <c r="AQ220" s="725">
        <v>14</v>
      </c>
      <c r="AR220" s="728">
        <v>0.44500000000000001</v>
      </c>
      <c r="AS220" s="729">
        <v>5</v>
      </c>
      <c r="AT220" s="728">
        <v>0</v>
      </c>
      <c r="AU220" s="730">
        <v>10</v>
      </c>
      <c r="AV220" s="731">
        <v>0.255</v>
      </c>
      <c r="AW220" s="730">
        <v>7</v>
      </c>
      <c r="AX220" s="728">
        <v>0.27600000000000002</v>
      </c>
      <c r="AY220" s="730">
        <v>6</v>
      </c>
      <c r="AZ220" s="728">
        <v>4.5999999999999999E-2</v>
      </c>
      <c r="BA220" s="730">
        <v>9</v>
      </c>
      <c r="BB220" s="733">
        <v>9.6000000000000002E-2</v>
      </c>
      <c r="BC220" s="730">
        <v>3</v>
      </c>
      <c r="BD220" s="6"/>
    </row>
    <row r="221" spans="7:56" s="704" customFormat="1" ht="15">
      <c r="G221" s="1546"/>
      <c r="W221" s="6"/>
      <c r="X221" s="87"/>
      <c r="Y221" s="87"/>
      <c r="Z221" s="739"/>
      <c r="AA221" s="739"/>
      <c r="AB221" s="743"/>
      <c r="AC221" s="108"/>
      <c r="AD221" s="108"/>
      <c r="AE221" s="770" t="s">
        <v>1139</v>
      </c>
      <c r="AF221" s="771" t="s">
        <v>652</v>
      </c>
      <c r="AG221" s="108"/>
      <c r="AH221" s="454" t="s">
        <v>439</v>
      </c>
      <c r="AI221" s="455">
        <v>8</v>
      </c>
      <c r="AJ221" s="724">
        <v>9.2935902096207446E-2</v>
      </c>
      <c r="AK221" s="725">
        <v>12</v>
      </c>
      <c r="AL221" s="726">
        <v>45426</v>
      </c>
      <c r="AM221" s="725">
        <v>14</v>
      </c>
      <c r="AN221" s="727">
        <v>0.45500000000000002</v>
      </c>
      <c r="AO221" s="725">
        <v>10</v>
      </c>
      <c r="AP221" s="727">
        <v>6.8000000000000005E-2</v>
      </c>
      <c r="AQ221" s="725">
        <v>14</v>
      </c>
      <c r="AR221" s="728">
        <v>0.32</v>
      </c>
      <c r="AS221" s="729">
        <v>4</v>
      </c>
      <c r="AT221" s="728">
        <v>0</v>
      </c>
      <c r="AU221" s="730">
        <v>10</v>
      </c>
      <c r="AV221" s="731">
        <v>0.35100000000000003</v>
      </c>
      <c r="AW221" s="730">
        <v>6</v>
      </c>
      <c r="AX221" s="728">
        <v>0.16600000000000001</v>
      </c>
      <c r="AY221" s="730">
        <v>8</v>
      </c>
      <c r="AZ221" s="728">
        <v>0.109</v>
      </c>
      <c r="BA221" s="730">
        <v>7</v>
      </c>
      <c r="BB221" s="733">
        <v>9.8000000000000004E-2</v>
      </c>
      <c r="BC221" s="730">
        <v>3</v>
      </c>
      <c r="BD221" s="6"/>
    </row>
    <row r="222" spans="7:56" s="704" customFormat="1" ht="15">
      <c r="G222" s="1546"/>
      <c r="W222" s="6"/>
      <c r="X222" s="87"/>
      <c r="Y222" s="87"/>
      <c r="Z222" s="739"/>
      <c r="AA222" s="739"/>
      <c r="AB222" s="743"/>
      <c r="AC222" s="108"/>
      <c r="AD222" s="108"/>
      <c r="AE222" s="770" t="s">
        <v>2533</v>
      </c>
      <c r="AF222" s="771" t="s">
        <v>1450</v>
      </c>
      <c r="AG222" s="108"/>
      <c r="AH222" s="454" t="s">
        <v>439</v>
      </c>
      <c r="AI222" s="455">
        <v>9</v>
      </c>
      <c r="AJ222" s="724">
        <v>9.2935902096207446E-2</v>
      </c>
      <c r="AK222" s="725">
        <v>12</v>
      </c>
      <c r="AL222" s="726">
        <v>45426</v>
      </c>
      <c r="AM222" s="725">
        <v>14</v>
      </c>
      <c r="AN222" s="727">
        <v>0.45500000000000002</v>
      </c>
      <c r="AO222" s="725">
        <v>10</v>
      </c>
      <c r="AP222" s="727">
        <v>6.8000000000000005E-2</v>
      </c>
      <c r="AQ222" s="725">
        <v>14</v>
      </c>
      <c r="AR222" s="728">
        <v>0.124</v>
      </c>
      <c r="AS222" s="729">
        <v>2</v>
      </c>
      <c r="AT222" s="728">
        <v>0</v>
      </c>
      <c r="AU222" s="730">
        <v>10</v>
      </c>
      <c r="AV222" s="731">
        <v>0.56700000000000006</v>
      </c>
      <c r="AW222" s="730">
        <v>3</v>
      </c>
      <c r="AX222" s="728">
        <v>0.51900000000000002</v>
      </c>
      <c r="AY222" s="730">
        <v>2</v>
      </c>
      <c r="AZ222" s="728">
        <v>0.157</v>
      </c>
      <c r="BA222" s="730">
        <v>5</v>
      </c>
      <c r="BB222" s="733">
        <v>0.13900000000000001</v>
      </c>
      <c r="BC222" s="730">
        <v>4</v>
      </c>
      <c r="BD222" s="6"/>
    </row>
    <row r="223" spans="7:56" s="704" customFormat="1" ht="15">
      <c r="G223" s="1546"/>
      <c r="W223" s="6"/>
      <c r="X223" s="87"/>
      <c r="Y223" s="87"/>
      <c r="Z223" s="739"/>
      <c r="AA223" s="739"/>
      <c r="AB223" s="743"/>
      <c r="AC223" s="108"/>
      <c r="AD223" s="108"/>
      <c r="AE223" s="770" t="s">
        <v>1140</v>
      </c>
      <c r="AF223" s="771" t="s">
        <v>1450</v>
      </c>
      <c r="AG223" s="108"/>
      <c r="AH223" s="454" t="s">
        <v>439</v>
      </c>
      <c r="AI223" s="455">
        <v>11</v>
      </c>
      <c r="AJ223" s="724">
        <v>9.2935902096207446E-2</v>
      </c>
      <c r="AK223" s="725">
        <v>12</v>
      </c>
      <c r="AL223" s="726">
        <v>45426</v>
      </c>
      <c r="AM223" s="725">
        <v>14</v>
      </c>
      <c r="AN223" s="727">
        <v>0.45500000000000002</v>
      </c>
      <c r="AO223" s="725">
        <v>10</v>
      </c>
      <c r="AP223" s="727">
        <v>6.8000000000000005E-2</v>
      </c>
      <c r="AQ223" s="725">
        <v>14</v>
      </c>
      <c r="AR223" s="728">
        <v>0.45200000000000001</v>
      </c>
      <c r="AS223" s="729">
        <v>5</v>
      </c>
      <c r="AT223" s="728">
        <v>0</v>
      </c>
      <c r="AU223" s="730">
        <v>10</v>
      </c>
      <c r="AV223" s="731">
        <v>0.26200000000000001</v>
      </c>
      <c r="AW223" s="730">
        <v>7</v>
      </c>
      <c r="AX223" s="728">
        <v>0.182</v>
      </c>
      <c r="AY223" s="730">
        <v>7</v>
      </c>
      <c r="AZ223" s="728">
        <v>6.2E-2</v>
      </c>
      <c r="BA223" s="730">
        <v>8</v>
      </c>
      <c r="BB223" s="733">
        <v>0.18600000000000003</v>
      </c>
      <c r="BC223" s="730">
        <v>5</v>
      </c>
      <c r="BD223" s="6"/>
    </row>
    <row r="224" spans="7:56" s="704" customFormat="1" ht="15">
      <c r="G224" s="1546"/>
      <c r="W224" s="6"/>
      <c r="X224" s="87"/>
      <c r="Y224" s="87"/>
      <c r="Z224" s="739"/>
      <c r="AA224" s="739"/>
      <c r="AB224" s="743"/>
      <c r="AC224" s="108"/>
      <c r="AD224" s="108"/>
      <c r="AE224" s="770" t="s">
        <v>1141</v>
      </c>
      <c r="AF224" s="771" t="s">
        <v>1450</v>
      </c>
      <c r="AG224" s="108"/>
      <c r="AH224" s="454" t="s">
        <v>439</v>
      </c>
      <c r="AI224" s="455">
        <v>12</v>
      </c>
      <c r="AJ224" s="724">
        <v>9.2935902096207446E-2</v>
      </c>
      <c r="AK224" s="725">
        <v>12</v>
      </c>
      <c r="AL224" s="726">
        <v>45426</v>
      </c>
      <c r="AM224" s="725">
        <v>14</v>
      </c>
      <c r="AN224" s="727">
        <v>0.45500000000000002</v>
      </c>
      <c r="AO224" s="725">
        <v>10</v>
      </c>
      <c r="AP224" s="727">
        <v>6.8000000000000005E-2</v>
      </c>
      <c r="AQ224" s="725">
        <v>14</v>
      </c>
      <c r="AR224" s="728">
        <v>0.3</v>
      </c>
      <c r="AS224" s="729">
        <v>4</v>
      </c>
      <c r="AT224" s="728">
        <v>5.0000000000000001E-3</v>
      </c>
      <c r="AU224" s="730">
        <v>10</v>
      </c>
      <c r="AV224" s="731">
        <v>0.28899999999999998</v>
      </c>
      <c r="AW224" s="730">
        <v>7</v>
      </c>
      <c r="AX224" s="728">
        <v>0.34399999999999997</v>
      </c>
      <c r="AY224" s="730">
        <v>5</v>
      </c>
      <c r="AZ224" s="728">
        <v>5.7000000000000002E-2</v>
      </c>
      <c r="BA224" s="730">
        <v>9</v>
      </c>
      <c r="BB224" s="733">
        <v>0.11599999999999999</v>
      </c>
      <c r="BC224" s="730">
        <v>4</v>
      </c>
      <c r="BD224" s="6"/>
    </row>
    <row r="225" spans="7:56" s="704" customFormat="1" ht="15">
      <c r="G225" s="1546"/>
      <c r="W225" s="6"/>
      <c r="X225" s="87"/>
      <c r="Y225" s="87"/>
      <c r="Z225" s="739"/>
      <c r="AA225" s="739"/>
      <c r="AB225" s="743"/>
      <c r="AC225" s="108"/>
      <c r="AD225" s="108"/>
      <c r="AE225" s="770" t="s">
        <v>1748</v>
      </c>
      <c r="AF225" s="771" t="s">
        <v>653</v>
      </c>
      <c r="AG225" s="108"/>
      <c r="AH225" s="454" t="s">
        <v>439</v>
      </c>
      <c r="AI225" s="455">
        <v>13</v>
      </c>
      <c r="AJ225" s="724">
        <v>9.2935902096207446E-2</v>
      </c>
      <c r="AK225" s="725">
        <v>12</v>
      </c>
      <c r="AL225" s="726">
        <v>45426</v>
      </c>
      <c r="AM225" s="725">
        <v>14</v>
      </c>
      <c r="AN225" s="727">
        <v>0.45500000000000002</v>
      </c>
      <c r="AO225" s="725">
        <v>10</v>
      </c>
      <c r="AP225" s="727">
        <v>6.8000000000000005E-2</v>
      </c>
      <c r="AQ225" s="725">
        <v>14</v>
      </c>
      <c r="AR225" s="728">
        <v>0.255</v>
      </c>
      <c r="AS225" s="729">
        <v>3</v>
      </c>
      <c r="AT225" s="728">
        <v>9.0000000000000011E-3</v>
      </c>
      <c r="AU225" s="730">
        <v>10</v>
      </c>
      <c r="AV225" s="731">
        <v>0.22600000000000001</v>
      </c>
      <c r="AW225" s="730">
        <v>8</v>
      </c>
      <c r="AX225" s="728">
        <v>0.161</v>
      </c>
      <c r="AY225" s="730">
        <v>8</v>
      </c>
      <c r="AZ225" s="728">
        <v>7.0999999999999994E-2</v>
      </c>
      <c r="BA225" s="730">
        <v>8</v>
      </c>
      <c r="BB225" s="733">
        <v>0.16500000000000001</v>
      </c>
      <c r="BC225" s="730">
        <v>5</v>
      </c>
      <c r="BD225" s="6"/>
    </row>
    <row r="226" spans="7:56" s="704" customFormat="1" ht="15">
      <c r="G226" s="1546"/>
      <c r="W226" s="6"/>
      <c r="X226" s="87"/>
      <c r="Y226" s="87"/>
      <c r="Z226" s="739"/>
      <c r="AA226" s="739"/>
      <c r="AB226" s="743"/>
      <c r="AC226" s="108"/>
      <c r="AD226" s="108"/>
      <c r="AE226" s="770" t="s">
        <v>1749</v>
      </c>
      <c r="AF226" s="771" t="s">
        <v>1450</v>
      </c>
      <c r="AG226" s="108"/>
      <c r="AH226" s="454" t="s">
        <v>439</v>
      </c>
      <c r="AI226" s="455">
        <v>15</v>
      </c>
      <c r="AJ226" s="724">
        <v>9.2935902096207446E-2</v>
      </c>
      <c r="AK226" s="725">
        <v>12</v>
      </c>
      <c r="AL226" s="726">
        <v>45426</v>
      </c>
      <c r="AM226" s="725">
        <v>14</v>
      </c>
      <c r="AN226" s="727">
        <v>0.45500000000000002</v>
      </c>
      <c r="AO226" s="725">
        <v>10</v>
      </c>
      <c r="AP226" s="727">
        <v>6.8000000000000005E-2</v>
      </c>
      <c r="AQ226" s="725">
        <v>14</v>
      </c>
      <c r="AR226" s="728">
        <v>0.63800000000000001</v>
      </c>
      <c r="AS226" s="729">
        <v>7</v>
      </c>
      <c r="AT226" s="728">
        <v>4.0000000000000001E-3</v>
      </c>
      <c r="AU226" s="730">
        <v>10</v>
      </c>
      <c r="AV226" s="731">
        <v>0.106</v>
      </c>
      <c r="AW226" s="730">
        <v>9</v>
      </c>
      <c r="AX226" s="728">
        <v>7.8E-2</v>
      </c>
      <c r="AY226" s="730">
        <v>9</v>
      </c>
      <c r="AZ226" s="728">
        <v>0.03</v>
      </c>
      <c r="BA226" s="730">
        <v>9</v>
      </c>
      <c r="BB226" s="733">
        <v>0.28100000000000003</v>
      </c>
      <c r="BC226" s="730">
        <v>8</v>
      </c>
      <c r="BD226" s="6"/>
    </row>
    <row r="227" spans="7:56" s="704" customFormat="1" ht="15">
      <c r="G227" s="1546"/>
      <c r="W227" s="6"/>
      <c r="X227" s="87"/>
      <c r="Y227" s="87"/>
      <c r="Z227" s="739"/>
      <c r="AA227" s="739"/>
      <c r="AB227" s="743"/>
      <c r="AC227" s="108"/>
      <c r="AD227" s="108"/>
      <c r="AE227" s="770" t="s">
        <v>1142</v>
      </c>
      <c r="AF227" s="771" t="s">
        <v>1450</v>
      </c>
      <c r="AG227" s="108"/>
      <c r="AH227" s="454" t="s">
        <v>439</v>
      </c>
      <c r="AI227" s="455">
        <v>17</v>
      </c>
      <c r="AJ227" s="724">
        <v>9.2935902096207446E-2</v>
      </c>
      <c r="AK227" s="725">
        <v>12</v>
      </c>
      <c r="AL227" s="726">
        <v>45426</v>
      </c>
      <c r="AM227" s="725">
        <v>14</v>
      </c>
      <c r="AN227" s="727">
        <v>0.45500000000000002</v>
      </c>
      <c r="AO227" s="725">
        <v>10</v>
      </c>
      <c r="AP227" s="727">
        <v>6.8000000000000005E-2</v>
      </c>
      <c r="AQ227" s="725">
        <v>14</v>
      </c>
      <c r="AR227" s="728">
        <v>0.51</v>
      </c>
      <c r="AS227" s="729">
        <v>6</v>
      </c>
      <c r="AT227" s="728">
        <v>1.7000000000000001E-2</v>
      </c>
      <c r="AU227" s="730">
        <v>9</v>
      </c>
      <c r="AV227" s="731">
        <v>0.29499999999999998</v>
      </c>
      <c r="AW227" s="730">
        <v>7</v>
      </c>
      <c r="AX227" s="728">
        <v>0.217</v>
      </c>
      <c r="AY227" s="730">
        <v>7</v>
      </c>
      <c r="AZ227" s="728">
        <v>2.4E-2</v>
      </c>
      <c r="BA227" s="730">
        <v>10</v>
      </c>
      <c r="BB227" s="733">
        <v>0.17</v>
      </c>
      <c r="BC227" s="730">
        <v>5</v>
      </c>
      <c r="BD227" s="6"/>
    </row>
    <row r="228" spans="7:56" s="704" customFormat="1" ht="15">
      <c r="G228" s="1546"/>
      <c r="W228" s="6"/>
      <c r="X228" s="87"/>
      <c r="Y228" s="87"/>
      <c r="Z228" s="739"/>
      <c r="AA228" s="739"/>
      <c r="AB228" s="743"/>
      <c r="AC228" s="108"/>
      <c r="AD228" s="108"/>
      <c r="AE228" s="770" t="s">
        <v>1143</v>
      </c>
      <c r="AF228" s="771" t="s">
        <v>652</v>
      </c>
      <c r="AG228" s="108"/>
      <c r="AH228" s="454" t="s">
        <v>439</v>
      </c>
      <c r="AI228" s="455">
        <v>18</v>
      </c>
      <c r="AJ228" s="724">
        <v>9.2935902096207446E-2</v>
      </c>
      <c r="AK228" s="725">
        <v>12</v>
      </c>
      <c r="AL228" s="726">
        <v>45426</v>
      </c>
      <c r="AM228" s="725">
        <v>14</v>
      </c>
      <c r="AN228" s="727">
        <v>0.45500000000000002</v>
      </c>
      <c r="AO228" s="725">
        <v>10</v>
      </c>
      <c r="AP228" s="727">
        <v>6.8000000000000005E-2</v>
      </c>
      <c r="AQ228" s="725">
        <v>14</v>
      </c>
      <c r="AR228" s="728">
        <v>0.79900000000000004</v>
      </c>
      <c r="AS228" s="729">
        <v>9</v>
      </c>
      <c r="AT228" s="728">
        <v>0</v>
      </c>
      <c r="AU228" s="730">
        <v>10</v>
      </c>
      <c r="AV228" s="731">
        <v>0.16899999999999998</v>
      </c>
      <c r="AW228" s="730">
        <v>8</v>
      </c>
      <c r="AX228" s="728">
        <v>5.7999999999999996E-2</v>
      </c>
      <c r="AY228" s="730">
        <v>10</v>
      </c>
      <c r="AZ228" s="728">
        <v>5.5E-2</v>
      </c>
      <c r="BA228" s="730">
        <v>9</v>
      </c>
      <c r="BB228" s="733">
        <v>0.17600000000000002</v>
      </c>
      <c r="BC228" s="730">
        <v>5</v>
      </c>
      <c r="BD228" s="6"/>
    </row>
    <row r="229" spans="7:56" s="704" customFormat="1" ht="15">
      <c r="G229" s="1546"/>
      <c r="W229" s="6"/>
      <c r="X229" s="87"/>
      <c r="Y229" s="87"/>
      <c r="Z229" s="739"/>
      <c r="AA229" s="739"/>
      <c r="AB229" s="743"/>
      <c r="AC229" s="108"/>
      <c r="AD229" s="108"/>
      <c r="AE229" s="770" t="s">
        <v>1144</v>
      </c>
      <c r="AF229" s="771" t="s">
        <v>1450</v>
      </c>
      <c r="AG229" s="108"/>
      <c r="AH229" s="454" t="s">
        <v>439</v>
      </c>
      <c r="AI229" s="455">
        <v>19.010000000000002</v>
      </c>
      <c r="AJ229" s="724">
        <v>9.2935902096207446E-2</v>
      </c>
      <c r="AK229" s="725">
        <v>12</v>
      </c>
      <c r="AL229" s="726">
        <v>45426</v>
      </c>
      <c r="AM229" s="725">
        <v>14</v>
      </c>
      <c r="AN229" s="727">
        <v>0.45500000000000002</v>
      </c>
      <c r="AO229" s="725">
        <v>10</v>
      </c>
      <c r="AP229" s="727">
        <v>6.8000000000000005E-2</v>
      </c>
      <c r="AQ229" s="725">
        <v>14</v>
      </c>
      <c r="AR229" s="728">
        <v>0.86499999999999999</v>
      </c>
      <c r="AS229" s="729">
        <v>10</v>
      </c>
      <c r="AT229" s="728">
        <v>0</v>
      </c>
      <c r="AU229" s="730">
        <v>10</v>
      </c>
      <c r="AV229" s="731">
        <v>2.1000000000000001E-2</v>
      </c>
      <c r="AW229" s="730">
        <v>10</v>
      </c>
      <c r="AX229" s="728">
        <v>0</v>
      </c>
      <c r="AY229" s="730">
        <v>10</v>
      </c>
      <c r="AZ229" s="728">
        <v>2.6000000000000002E-2</v>
      </c>
      <c r="BA229" s="730">
        <v>10</v>
      </c>
      <c r="BB229" s="733">
        <v>0.32200000000000001</v>
      </c>
      <c r="BC229" s="730">
        <v>9</v>
      </c>
      <c r="BD229" s="6"/>
    </row>
    <row r="230" spans="7:56" s="704" customFormat="1" ht="15">
      <c r="G230" s="1546"/>
      <c r="W230" s="6"/>
      <c r="X230" s="87"/>
      <c r="Y230" s="87"/>
      <c r="Z230" s="739"/>
      <c r="AA230" s="739"/>
      <c r="AB230" s="743"/>
      <c r="AC230" s="108"/>
      <c r="AD230" s="108"/>
      <c r="AE230" s="770" t="s">
        <v>2534</v>
      </c>
      <c r="AF230" s="771" t="s">
        <v>653</v>
      </c>
      <c r="AG230" s="108"/>
      <c r="AH230" s="454" t="s">
        <v>439</v>
      </c>
      <c r="AI230" s="455">
        <v>19.02</v>
      </c>
      <c r="AJ230" s="724">
        <v>9.2935902096207446E-2</v>
      </c>
      <c r="AK230" s="725">
        <v>12</v>
      </c>
      <c r="AL230" s="726">
        <v>45426</v>
      </c>
      <c r="AM230" s="725">
        <v>14</v>
      </c>
      <c r="AN230" s="727">
        <v>0.45500000000000002</v>
      </c>
      <c r="AO230" s="725">
        <v>10</v>
      </c>
      <c r="AP230" s="727">
        <v>6.8000000000000005E-2</v>
      </c>
      <c r="AQ230" s="725">
        <v>14</v>
      </c>
      <c r="AR230" s="728">
        <v>0.88</v>
      </c>
      <c r="AS230" s="729">
        <v>10</v>
      </c>
      <c r="AT230" s="728">
        <v>0</v>
      </c>
      <c r="AU230" s="730">
        <v>10</v>
      </c>
      <c r="AV230" s="731">
        <v>9.3000000000000013E-2</v>
      </c>
      <c r="AW230" s="730">
        <v>9</v>
      </c>
      <c r="AX230" s="728">
        <v>2.1000000000000001E-2</v>
      </c>
      <c r="AY230" s="730">
        <v>10</v>
      </c>
      <c r="AZ230" s="728">
        <v>2.4E-2</v>
      </c>
      <c r="BA230" s="730">
        <v>10</v>
      </c>
      <c r="BB230" s="733">
        <v>0.307</v>
      </c>
      <c r="BC230" s="730">
        <v>8</v>
      </c>
      <c r="BD230" s="6"/>
    </row>
    <row r="231" spans="7:56" s="704" customFormat="1" ht="15">
      <c r="G231" s="1546"/>
      <c r="W231" s="6"/>
      <c r="X231" s="87"/>
      <c r="Y231" s="87"/>
      <c r="Z231" s="739"/>
      <c r="AA231" s="739"/>
      <c r="AB231" s="743"/>
      <c r="AC231" s="108"/>
      <c r="AD231" s="108"/>
      <c r="AE231" s="770" t="s">
        <v>2535</v>
      </c>
      <c r="AF231" s="771" t="s">
        <v>1450</v>
      </c>
      <c r="AG231" s="108"/>
      <c r="AH231" s="454" t="s">
        <v>439</v>
      </c>
      <c r="AI231" s="455">
        <v>20</v>
      </c>
      <c r="AJ231" s="724">
        <v>9.2935902096207446E-2</v>
      </c>
      <c r="AK231" s="725">
        <v>12</v>
      </c>
      <c r="AL231" s="726">
        <v>45426</v>
      </c>
      <c r="AM231" s="725">
        <v>14</v>
      </c>
      <c r="AN231" s="727">
        <v>0.45500000000000002</v>
      </c>
      <c r="AO231" s="725">
        <v>10</v>
      </c>
      <c r="AP231" s="727">
        <v>6.8000000000000005E-2</v>
      </c>
      <c r="AQ231" s="725">
        <v>14</v>
      </c>
      <c r="AR231" s="728">
        <v>0.71099999999999997</v>
      </c>
      <c r="AS231" s="729">
        <v>8</v>
      </c>
      <c r="AT231" s="728">
        <v>0</v>
      </c>
      <c r="AU231" s="730">
        <v>10</v>
      </c>
      <c r="AV231" s="731">
        <v>4.2999999999999997E-2</v>
      </c>
      <c r="AW231" s="730">
        <v>10</v>
      </c>
      <c r="AX231" s="728">
        <v>2.8999999999999998E-2</v>
      </c>
      <c r="AY231" s="730">
        <v>10</v>
      </c>
      <c r="AZ231" s="728">
        <v>0</v>
      </c>
      <c r="BA231" s="730">
        <v>10</v>
      </c>
      <c r="BB231" s="733">
        <v>0.38600000000000001</v>
      </c>
      <c r="BC231" s="730">
        <v>10</v>
      </c>
      <c r="BD231" s="6"/>
    </row>
    <row r="232" spans="7:56" s="704" customFormat="1" ht="15">
      <c r="G232" s="1546"/>
      <c r="W232" s="6"/>
      <c r="X232" s="87"/>
      <c r="Y232" s="87"/>
      <c r="Z232" s="739"/>
      <c r="AA232" s="739"/>
      <c r="AB232" s="743"/>
      <c r="AC232" s="108"/>
      <c r="AD232" s="108"/>
      <c r="AE232" s="770" t="s">
        <v>2536</v>
      </c>
      <c r="AF232" s="771" t="s">
        <v>1450</v>
      </c>
      <c r="AG232" s="108"/>
      <c r="AH232" s="454" t="s">
        <v>439</v>
      </c>
      <c r="AI232" s="455">
        <v>21</v>
      </c>
      <c r="AJ232" s="724">
        <v>9.2935902096207446E-2</v>
      </c>
      <c r="AK232" s="725">
        <v>12</v>
      </c>
      <c r="AL232" s="726">
        <v>45426</v>
      </c>
      <c r="AM232" s="725">
        <v>14</v>
      </c>
      <c r="AN232" s="727">
        <v>0.45500000000000002</v>
      </c>
      <c r="AO232" s="725">
        <v>10</v>
      </c>
      <c r="AP232" s="727">
        <v>6.8000000000000005E-2</v>
      </c>
      <c r="AQ232" s="725">
        <v>14</v>
      </c>
      <c r="AR232" s="728">
        <v>0.7390000000000001</v>
      </c>
      <c r="AS232" s="729">
        <v>8</v>
      </c>
      <c r="AT232" s="728">
        <v>0</v>
      </c>
      <c r="AU232" s="730">
        <v>10</v>
      </c>
      <c r="AV232" s="731">
        <v>0.22399999999999998</v>
      </c>
      <c r="AW232" s="730">
        <v>8</v>
      </c>
      <c r="AX232" s="728">
        <v>0.14800000000000002</v>
      </c>
      <c r="AY232" s="730">
        <v>8</v>
      </c>
      <c r="AZ232" s="728">
        <v>2.7000000000000003E-2</v>
      </c>
      <c r="BA232" s="730">
        <v>10</v>
      </c>
      <c r="BB232" s="733">
        <v>0.24399999999999999</v>
      </c>
      <c r="BC232" s="730">
        <v>7</v>
      </c>
      <c r="BD232" s="6"/>
    </row>
    <row r="233" spans="7:56" s="704" customFormat="1" ht="15">
      <c r="G233" s="1546"/>
      <c r="W233" s="6"/>
      <c r="X233" s="87"/>
      <c r="Y233" s="87"/>
      <c r="Z233" s="739"/>
      <c r="AA233" s="739"/>
      <c r="AB233" s="743"/>
      <c r="AC233" s="108"/>
      <c r="AD233" s="108"/>
      <c r="AE233" s="770" t="s">
        <v>1145</v>
      </c>
      <c r="AF233" s="771" t="s">
        <v>1450</v>
      </c>
      <c r="AG233" s="108"/>
      <c r="AH233" s="454" t="s">
        <v>439</v>
      </c>
      <c r="AI233" s="455">
        <v>101</v>
      </c>
      <c r="AJ233" s="724">
        <v>9.2935902096207446E-2</v>
      </c>
      <c r="AK233" s="725">
        <v>12</v>
      </c>
      <c r="AL233" s="726">
        <v>45426</v>
      </c>
      <c r="AM233" s="725">
        <v>14</v>
      </c>
      <c r="AN233" s="727">
        <v>0.45500000000000002</v>
      </c>
      <c r="AO233" s="725">
        <v>10</v>
      </c>
      <c r="AP233" s="727">
        <v>6.8000000000000005E-2</v>
      </c>
      <c r="AQ233" s="725">
        <v>14</v>
      </c>
      <c r="AR233" s="728">
        <v>0.55799999999999994</v>
      </c>
      <c r="AS233" s="729">
        <v>6</v>
      </c>
      <c r="AT233" s="728">
        <v>1.1000000000000001E-2</v>
      </c>
      <c r="AU233" s="730">
        <v>9</v>
      </c>
      <c r="AV233" s="731">
        <v>9.4E-2</v>
      </c>
      <c r="AW233" s="730">
        <v>9</v>
      </c>
      <c r="AX233" s="728">
        <v>8.5999999999999993E-2</v>
      </c>
      <c r="AY233" s="730">
        <v>9</v>
      </c>
      <c r="AZ233" s="728">
        <v>7.2999999999999995E-2</v>
      </c>
      <c r="BA233" s="730">
        <v>8</v>
      </c>
      <c r="BB233" s="733">
        <v>0.16899999999999998</v>
      </c>
      <c r="BC233" s="730">
        <v>5</v>
      </c>
      <c r="BD233" s="6"/>
    </row>
    <row r="234" spans="7:56" s="704" customFormat="1" ht="15">
      <c r="G234" s="1546"/>
      <c r="W234" s="6"/>
      <c r="X234" s="87"/>
      <c r="Y234" s="87"/>
      <c r="Z234" s="739"/>
      <c r="AA234" s="739"/>
      <c r="AB234" s="743"/>
      <c r="AC234" s="108"/>
      <c r="AD234" s="108"/>
      <c r="AE234" s="770" t="s">
        <v>1146</v>
      </c>
      <c r="AF234" s="771" t="s">
        <v>653</v>
      </c>
      <c r="AG234" s="108"/>
      <c r="AH234" s="454" t="s">
        <v>439</v>
      </c>
      <c r="AI234" s="455">
        <v>102</v>
      </c>
      <c r="AJ234" s="724">
        <v>9.2935902096207446E-2</v>
      </c>
      <c r="AK234" s="725">
        <v>12</v>
      </c>
      <c r="AL234" s="726">
        <v>45426</v>
      </c>
      <c r="AM234" s="725">
        <v>14</v>
      </c>
      <c r="AN234" s="727">
        <v>0.45500000000000002</v>
      </c>
      <c r="AO234" s="725">
        <v>10</v>
      </c>
      <c r="AP234" s="727">
        <v>6.8000000000000005E-2</v>
      </c>
      <c r="AQ234" s="725">
        <v>14</v>
      </c>
      <c r="AR234" s="728">
        <v>0.58099999999999996</v>
      </c>
      <c r="AS234" s="729">
        <v>7</v>
      </c>
      <c r="AT234" s="728">
        <v>0</v>
      </c>
      <c r="AU234" s="730">
        <v>10</v>
      </c>
      <c r="AV234" s="731">
        <v>7.2999999999999995E-2</v>
      </c>
      <c r="AW234" s="730">
        <v>10</v>
      </c>
      <c r="AX234" s="728">
        <v>3.5000000000000003E-2</v>
      </c>
      <c r="AY234" s="730">
        <v>10</v>
      </c>
      <c r="AZ234" s="728">
        <v>2.6000000000000002E-2</v>
      </c>
      <c r="BA234" s="730">
        <v>10</v>
      </c>
      <c r="BB234" s="733">
        <v>0.14800000000000002</v>
      </c>
      <c r="BC234" s="730">
        <v>4</v>
      </c>
      <c r="BD234" s="6"/>
    </row>
    <row r="235" spans="7:56" s="704" customFormat="1" ht="15">
      <c r="G235" s="1546"/>
      <c r="W235" s="6"/>
      <c r="X235" s="87"/>
      <c r="Y235" s="87"/>
      <c r="Z235" s="739"/>
      <c r="AA235" s="739"/>
      <c r="AB235" s="743"/>
      <c r="AC235" s="108"/>
      <c r="AD235" s="108"/>
      <c r="AE235" s="770" t="s">
        <v>1147</v>
      </c>
      <c r="AF235" s="771" t="s">
        <v>1450</v>
      </c>
      <c r="AG235" s="108"/>
      <c r="AH235" s="454" t="s">
        <v>439</v>
      </c>
      <c r="AI235" s="455">
        <v>103</v>
      </c>
      <c r="AJ235" s="724">
        <v>9.2935902096207446E-2</v>
      </c>
      <c r="AK235" s="725">
        <v>12</v>
      </c>
      <c r="AL235" s="726">
        <v>45426</v>
      </c>
      <c r="AM235" s="725">
        <v>14</v>
      </c>
      <c r="AN235" s="727">
        <v>0.45500000000000002</v>
      </c>
      <c r="AO235" s="725">
        <v>10</v>
      </c>
      <c r="AP235" s="727">
        <v>6.8000000000000005E-2</v>
      </c>
      <c r="AQ235" s="725">
        <v>14</v>
      </c>
      <c r="AR235" s="728">
        <v>0.65400000000000003</v>
      </c>
      <c r="AS235" s="729">
        <v>7</v>
      </c>
      <c r="AT235" s="728">
        <v>0</v>
      </c>
      <c r="AU235" s="730">
        <v>10</v>
      </c>
      <c r="AV235" s="731">
        <v>0.157</v>
      </c>
      <c r="AW235" s="730">
        <v>8</v>
      </c>
      <c r="AX235" s="728">
        <v>0.223</v>
      </c>
      <c r="AY235" s="730">
        <v>7</v>
      </c>
      <c r="AZ235" s="728">
        <v>5.5999999999999994E-2</v>
      </c>
      <c r="BA235" s="730">
        <v>9</v>
      </c>
      <c r="BB235" s="733">
        <v>7.2999999999999995E-2</v>
      </c>
      <c r="BC235" s="730">
        <v>2</v>
      </c>
      <c r="BD235" s="6"/>
    </row>
    <row r="236" spans="7:56" s="704" customFormat="1" ht="15">
      <c r="G236" s="1546"/>
      <c r="W236" s="6"/>
      <c r="X236" s="87"/>
      <c r="Y236" s="87"/>
      <c r="Z236" s="739"/>
      <c r="AA236" s="739"/>
      <c r="AB236" s="743"/>
      <c r="AC236" s="108"/>
      <c r="AD236" s="108"/>
      <c r="AE236" s="770" t="s">
        <v>1750</v>
      </c>
      <c r="AF236" s="771" t="s">
        <v>653</v>
      </c>
      <c r="AG236" s="108"/>
      <c r="AH236" s="454" t="s">
        <v>439</v>
      </c>
      <c r="AI236" s="455">
        <v>104</v>
      </c>
      <c r="AJ236" s="724">
        <v>9.2935902096207446E-2</v>
      </c>
      <c r="AK236" s="725">
        <v>12</v>
      </c>
      <c r="AL236" s="726">
        <v>45426</v>
      </c>
      <c r="AM236" s="725">
        <v>14</v>
      </c>
      <c r="AN236" s="727">
        <v>0.45500000000000002</v>
      </c>
      <c r="AO236" s="725">
        <v>10</v>
      </c>
      <c r="AP236" s="727">
        <v>6.8000000000000005E-2</v>
      </c>
      <c r="AQ236" s="725">
        <v>14</v>
      </c>
      <c r="AR236" s="728">
        <v>0.48499999999999999</v>
      </c>
      <c r="AS236" s="729">
        <v>6</v>
      </c>
      <c r="AT236" s="728">
        <v>0</v>
      </c>
      <c r="AU236" s="730">
        <v>10</v>
      </c>
      <c r="AV236" s="731">
        <v>0.27500000000000002</v>
      </c>
      <c r="AW236" s="730">
        <v>7</v>
      </c>
      <c r="AX236" s="728">
        <v>0.17399999999999999</v>
      </c>
      <c r="AY236" s="730">
        <v>8</v>
      </c>
      <c r="AZ236" s="728">
        <v>4.4999999999999998E-2</v>
      </c>
      <c r="BA236" s="730">
        <v>9</v>
      </c>
      <c r="BB236" s="733">
        <v>0.113</v>
      </c>
      <c r="BC236" s="730">
        <v>3</v>
      </c>
      <c r="BD236" s="6"/>
    </row>
    <row r="237" spans="7:56" s="704" customFormat="1" ht="15">
      <c r="G237" s="1546"/>
      <c r="W237" s="6"/>
      <c r="X237" s="87"/>
      <c r="Y237" s="87"/>
      <c r="Z237" s="739"/>
      <c r="AA237" s="739"/>
      <c r="AB237" s="743"/>
      <c r="AC237" s="108"/>
      <c r="AD237" s="108"/>
      <c r="AE237" s="770" t="s">
        <v>1148</v>
      </c>
      <c r="AF237" s="771" t="s">
        <v>1450</v>
      </c>
      <c r="AG237" s="108"/>
      <c r="AH237" s="454" t="s">
        <v>439</v>
      </c>
      <c r="AI237" s="455">
        <v>105</v>
      </c>
      <c r="AJ237" s="724">
        <v>9.2935902096207446E-2</v>
      </c>
      <c r="AK237" s="725">
        <v>12</v>
      </c>
      <c r="AL237" s="726">
        <v>45426</v>
      </c>
      <c r="AM237" s="725">
        <v>14</v>
      </c>
      <c r="AN237" s="727">
        <v>0.45500000000000002</v>
      </c>
      <c r="AO237" s="725">
        <v>10</v>
      </c>
      <c r="AP237" s="727">
        <v>6.8000000000000005E-2</v>
      </c>
      <c r="AQ237" s="725">
        <v>14</v>
      </c>
      <c r="AR237" s="728">
        <v>0.72900000000000009</v>
      </c>
      <c r="AS237" s="729">
        <v>8</v>
      </c>
      <c r="AT237" s="728">
        <v>0.01</v>
      </c>
      <c r="AU237" s="730">
        <v>10</v>
      </c>
      <c r="AV237" s="731">
        <v>0.13900000000000001</v>
      </c>
      <c r="AW237" s="730">
        <v>9</v>
      </c>
      <c r="AX237" s="728">
        <v>7.2000000000000008E-2</v>
      </c>
      <c r="AY237" s="730">
        <v>9</v>
      </c>
      <c r="AZ237" s="728">
        <v>2.1000000000000001E-2</v>
      </c>
      <c r="BA237" s="730">
        <v>10</v>
      </c>
      <c r="BB237" s="733">
        <v>0.223</v>
      </c>
      <c r="BC237" s="730">
        <v>6</v>
      </c>
      <c r="BD237" s="6"/>
    </row>
    <row r="238" spans="7:56" s="704" customFormat="1" ht="15">
      <c r="G238" s="1546"/>
      <c r="W238" s="6"/>
      <c r="X238" s="87"/>
      <c r="Y238" s="87"/>
      <c r="Z238" s="739"/>
      <c r="AA238" s="739"/>
      <c r="AB238" s="743"/>
      <c r="AC238" s="108"/>
      <c r="AD238" s="108"/>
      <c r="AE238" s="770" t="s">
        <v>1149</v>
      </c>
      <c r="AF238" s="771" t="s">
        <v>653</v>
      </c>
      <c r="AG238" s="108"/>
      <c r="AH238" s="454" t="s">
        <v>439</v>
      </c>
      <c r="AI238" s="455">
        <v>106</v>
      </c>
      <c r="AJ238" s="724">
        <v>9.2935902096207446E-2</v>
      </c>
      <c r="AK238" s="725">
        <v>12</v>
      </c>
      <c r="AL238" s="726">
        <v>45426</v>
      </c>
      <c r="AM238" s="725">
        <v>14</v>
      </c>
      <c r="AN238" s="727">
        <v>0.45500000000000002</v>
      </c>
      <c r="AO238" s="725">
        <v>10</v>
      </c>
      <c r="AP238" s="727">
        <v>6.8000000000000005E-2</v>
      </c>
      <c r="AQ238" s="725">
        <v>14</v>
      </c>
      <c r="AR238" s="728">
        <v>0.63300000000000001</v>
      </c>
      <c r="AS238" s="729">
        <v>7</v>
      </c>
      <c r="AT238" s="728">
        <v>1.9E-2</v>
      </c>
      <c r="AU238" s="730">
        <v>9</v>
      </c>
      <c r="AV238" s="731">
        <v>0.121</v>
      </c>
      <c r="AW238" s="730">
        <v>9</v>
      </c>
      <c r="AX238" s="728">
        <v>0.114</v>
      </c>
      <c r="AY238" s="730">
        <v>9</v>
      </c>
      <c r="AZ238" s="728">
        <v>6.3E-2</v>
      </c>
      <c r="BA238" s="730">
        <v>8</v>
      </c>
      <c r="BB238" s="733">
        <v>0.14599999999999999</v>
      </c>
      <c r="BC238" s="730">
        <v>4</v>
      </c>
      <c r="BD238" s="6"/>
    </row>
    <row r="239" spans="7:56" s="704" customFormat="1" ht="15">
      <c r="G239" s="1546"/>
      <c r="W239" s="6"/>
      <c r="X239" s="87"/>
      <c r="Y239" s="87"/>
      <c r="Z239" s="739"/>
      <c r="AA239" s="739"/>
      <c r="AB239" s="743"/>
      <c r="AC239" s="108"/>
      <c r="AD239" s="108"/>
      <c r="AE239" s="770" t="s">
        <v>2537</v>
      </c>
      <c r="AF239" s="771" t="s">
        <v>1450</v>
      </c>
      <c r="AG239" s="108"/>
      <c r="AH239" s="454" t="s">
        <v>439</v>
      </c>
      <c r="AI239" s="455">
        <v>107.01</v>
      </c>
      <c r="AJ239" s="724">
        <v>9.2935902096207446E-2</v>
      </c>
      <c r="AK239" s="725">
        <v>12</v>
      </c>
      <c r="AL239" s="726">
        <v>45426</v>
      </c>
      <c r="AM239" s="725">
        <v>14</v>
      </c>
      <c r="AN239" s="727">
        <v>0.45500000000000002</v>
      </c>
      <c r="AO239" s="725">
        <v>10</v>
      </c>
      <c r="AP239" s="727">
        <v>6.8000000000000005E-2</v>
      </c>
      <c r="AQ239" s="725">
        <v>14</v>
      </c>
      <c r="AR239" s="728">
        <v>0.71499999999999997</v>
      </c>
      <c r="AS239" s="729">
        <v>8</v>
      </c>
      <c r="AT239" s="728">
        <v>8.0000000000000002E-3</v>
      </c>
      <c r="AU239" s="730">
        <v>10</v>
      </c>
      <c r="AV239" s="731">
        <v>0.14899999999999999</v>
      </c>
      <c r="AW239" s="730">
        <v>9</v>
      </c>
      <c r="AX239" s="728">
        <v>0.16500000000000001</v>
      </c>
      <c r="AY239" s="730">
        <v>8</v>
      </c>
      <c r="AZ239" s="728">
        <v>7.5999999999999998E-2</v>
      </c>
      <c r="BA239" s="730">
        <v>8</v>
      </c>
      <c r="BB239" s="733">
        <v>0.20499999999999999</v>
      </c>
      <c r="BC239" s="730">
        <v>6</v>
      </c>
      <c r="BD239" s="6"/>
    </row>
    <row r="240" spans="7:56" s="704" customFormat="1" ht="15">
      <c r="G240" s="1546"/>
      <c r="W240" s="6"/>
      <c r="X240" s="87"/>
      <c r="Y240" s="87"/>
      <c r="Z240" s="739"/>
      <c r="AA240" s="739"/>
      <c r="AB240" s="743"/>
      <c r="AC240" s="108"/>
      <c r="AD240" s="108"/>
      <c r="AE240" s="770" t="s">
        <v>1150</v>
      </c>
      <c r="AF240" s="771" t="s">
        <v>652</v>
      </c>
      <c r="AG240" s="108"/>
      <c r="AH240" s="454" t="s">
        <v>439</v>
      </c>
      <c r="AI240" s="455">
        <v>107.02</v>
      </c>
      <c r="AJ240" s="724">
        <v>9.2935902096207446E-2</v>
      </c>
      <c r="AK240" s="725">
        <v>12</v>
      </c>
      <c r="AL240" s="726">
        <v>45426</v>
      </c>
      <c r="AM240" s="725">
        <v>14</v>
      </c>
      <c r="AN240" s="727">
        <v>0.45500000000000002</v>
      </c>
      <c r="AO240" s="725">
        <v>10</v>
      </c>
      <c r="AP240" s="727">
        <v>6.8000000000000005E-2</v>
      </c>
      <c r="AQ240" s="725">
        <v>14</v>
      </c>
      <c r="AR240" s="728">
        <v>0.78099999999999992</v>
      </c>
      <c r="AS240" s="729">
        <v>9</v>
      </c>
      <c r="AT240" s="728">
        <v>4.2000000000000003E-2</v>
      </c>
      <c r="AU240" s="730">
        <v>7</v>
      </c>
      <c r="AV240" s="731">
        <v>0.12</v>
      </c>
      <c r="AW240" s="730">
        <v>9</v>
      </c>
      <c r="AX240" s="728">
        <v>0.10300000000000001</v>
      </c>
      <c r="AY240" s="730">
        <v>9</v>
      </c>
      <c r="AZ240" s="728">
        <v>2.7000000000000003E-2</v>
      </c>
      <c r="BA240" s="730">
        <v>10</v>
      </c>
      <c r="BB240" s="733">
        <v>0.15</v>
      </c>
      <c r="BC240" s="730">
        <v>4</v>
      </c>
      <c r="BD240" s="6"/>
    </row>
    <row r="241" spans="7:56" s="704" customFormat="1" ht="15">
      <c r="G241" s="1546"/>
      <c r="W241" s="6"/>
      <c r="X241" s="87"/>
      <c r="Y241" s="87"/>
      <c r="Z241" s="739"/>
      <c r="AA241" s="739"/>
      <c r="AB241" s="743"/>
      <c r="AC241" s="108"/>
      <c r="AD241" s="108"/>
      <c r="AE241" s="770" t="s">
        <v>2538</v>
      </c>
      <c r="AF241" s="771" t="s">
        <v>653</v>
      </c>
      <c r="AG241" s="108"/>
      <c r="AH241" s="454" t="s">
        <v>439</v>
      </c>
      <c r="AI241" s="455">
        <v>108.01</v>
      </c>
      <c r="AJ241" s="724">
        <v>9.2935902096207446E-2</v>
      </c>
      <c r="AK241" s="725">
        <v>12</v>
      </c>
      <c r="AL241" s="726">
        <v>45426</v>
      </c>
      <c r="AM241" s="725">
        <v>14</v>
      </c>
      <c r="AN241" s="727">
        <v>0.45500000000000002</v>
      </c>
      <c r="AO241" s="725">
        <v>10</v>
      </c>
      <c r="AP241" s="727">
        <v>6.8000000000000005E-2</v>
      </c>
      <c r="AQ241" s="725">
        <v>14</v>
      </c>
      <c r="AR241" s="728">
        <v>0.84400000000000008</v>
      </c>
      <c r="AS241" s="729">
        <v>9</v>
      </c>
      <c r="AT241" s="728">
        <v>2.3E-2</v>
      </c>
      <c r="AU241" s="730">
        <v>8</v>
      </c>
      <c r="AV241" s="731">
        <v>0.17499999999999999</v>
      </c>
      <c r="AW241" s="730">
        <v>8</v>
      </c>
      <c r="AX241" s="728">
        <v>0.214</v>
      </c>
      <c r="AY241" s="730">
        <v>7</v>
      </c>
      <c r="AZ241" s="728">
        <v>3.3000000000000002E-2</v>
      </c>
      <c r="BA241" s="730">
        <v>9</v>
      </c>
      <c r="BB241" s="733">
        <v>0.111</v>
      </c>
      <c r="BC241" s="730">
        <v>3</v>
      </c>
      <c r="BD241" s="6"/>
    </row>
    <row r="242" spans="7:56" s="704" customFormat="1" ht="15">
      <c r="G242" s="1546"/>
      <c r="W242" s="6"/>
      <c r="X242" s="87"/>
      <c r="Y242" s="87"/>
      <c r="Z242" s="739"/>
      <c r="AA242" s="739"/>
      <c r="AB242" s="743"/>
      <c r="AC242" s="108"/>
      <c r="AD242" s="108"/>
      <c r="AE242" s="770" t="s">
        <v>1151</v>
      </c>
      <c r="AF242" s="771" t="s">
        <v>653</v>
      </c>
      <c r="AG242" s="108"/>
      <c r="AH242" s="454" t="s">
        <v>439</v>
      </c>
      <c r="AI242" s="455">
        <v>108.02</v>
      </c>
      <c r="AJ242" s="724">
        <v>9.2935902096207446E-2</v>
      </c>
      <c r="AK242" s="725">
        <v>12</v>
      </c>
      <c r="AL242" s="726">
        <v>45426</v>
      </c>
      <c r="AM242" s="725">
        <v>14</v>
      </c>
      <c r="AN242" s="727">
        <v>0.45500000000000002</v>
      </c>
      <c r="AO242" s="725">
        <v>10</v>
      </c>
      <c r="AP242" s="727">
        <v>6.8000000000000005E-2</v>
      </c>
      <c r="AQ242" s="725">
        <v>14</v>
      </c>
      <c r="AR242" s="728">
        <v>0.81</v>
      </c>
      <c r="AS242" s="729">
        <v>9</v>
      </c>
      <c r="AT242" s="728">
        <v>0</v>
      </c>
      <c r="AU242" s="730">
        <v>10</v>
      </c>
      <c r="AV242" s="731">
        <v>0.128</v>
      </c>
      <c r="AW242" s="730">
        <v>9</v>
      </c>
      <c r="AX242" s="728">
        <v>0.13</v>
      </c>
      <c r="AY242" s="730">
        <v>8</v>
      </c>
      <c r="AZ242" s="728">
        <v>1.3999999999999999E-2</v>
      </c>
      <c r="BA242" s="730">
        <v>10</v>
      </c>
      <c r="BB242" s="733">
        <v>7.8E-2</v>
      </c>
      <c r="BC242" s="730">
        <v>3</v>
      </c>
      <c r="BD242" s="6"/>
    </row>
    <row r="243" spans="7:56" s="704" customFormat="1" ht="15">
      <c r="G243" s="1546"/>
      <c r="W243" s="6"/>
      <c r="X243" s="87"/>
      <c r="Y243" s="87"/>
      <c r="Z243" s="739"/>
      <c r="AA243" s="739"/>
      <c r="AB243" s="743"/>
      <c r="AC243" s="108"/>
      <c r="AD243" s="108"/>
      <c r="AE243" s="770" t="s">
        <v>2539</v>
      </c>
      <c r="AF243" s="771" t="s">
        <v>1450</v>
      </c>
      <c r="AG243" s="108"/>
      <c r="AH243" s="454" t="s">
        <v>439</v>
      </c>
      <c r="AI243" s="455">
        <v>109</v>
      </c>
      <c r="AJ243" s="724">
        <v>9.2935902096207446E-2</v>
      </c>
      <c r="AK243" s="725">
        <v>12</v>
      </c>
      <c r="AL243" s="726">
        <v>45426</v>
      </c>
      <c r="AM243" s="725">
        <v>14</v>
      </c>
      <c r="AN243" s="727">
        <v>0.45500000000000002</v>
      </c>
      <c r="AO243" s="725">
        <v>10</v>
      </c>
      <c r="AP243" s="727">
        <v>6.8000000000000005E-2</v>
      </c>
      <c r="AQ243" s="725">
        <v>14</v>
      </c>
      <c r="AR243" s="728">
        <v>0.77700000000000002</v>
      </c>
      <c r="AS243" s="729">
        <v>9</v>
      </c>
      <c r="AT243" s="728">
        <v>0</v>
      </c>
      <c r="AU243" s="730">
        <v>10</v>
      </c>
      <c r="AV243" s="731">
        <v>0.10099999999999999</v>
      </c>
      <c r="AW243" s="730">
        <v>9</v>
      </c>
      <c r="AX243" s="728">
        <v>9.9000000000000005E-2</v>
      </c>
      <c r="AY243" s="730">
        <v>9</v>
      </c>
      <c r="AZ243" s="728">
        <v>4.8000000000000001E-2</v>
      </c>
      <c r="BA243" s="730">
        <v>9</v>
      </c>
      <c r="BB243" s="733">
        <v>6.3E-2</v>
      </c>
      <c r="BC243" s="730">
        <v>2</v>
      </c>
      <c r="BD243" s="6"/>
    </row>
    <row r="244" spans="7:56" s="704" customFormat="1" ht="15">
      <c r="G244" s="1546"/>
      <c r="W244" s="6"/>
      <c r="X244" s="87"/>
      <c r="Y244" s="87"/>
      <c r="Z244" s="739"/>
      <c r="AA244" s="739"/>
      <c r="AB244" s="743"/>
      <c r="AC244" s="108"/>
      <c r="AD244" s="108"/>
      <c r="AE244" s="770" t="s">
        <v>1751</v>
      </c>
      <c r="AF244" s="771" t="s">
        <v>653</v>
      </c>
      <c r="AG244" s="108"/>
      <c r="AH244" s="454" t="s">
        <v>439</v>
      </c>
      <c r="AI244" s="455">
        <v>110</v>
      </c>
      <c r="AJ244" s="724">
        <v>9.2935902096207446E-2</v>
      </c>
      <c r="AK244" s="725">
        <v>12</v>
      </c>
      <c r="AL244" s="726">
        <v>45426</v>
      </c>
      <c r="AM244" s="725">
        <v>14</v>
      </c>
      <c r="AN244" s="727">
        <v>0.45500000000000002</v>
      </c>
      <c r="AO244" s="725">
        <v>10</v>
      </c>
      <c r="AP244" s="727">
        <v>6.8000000000000005E-2</v>
      </c>
      <c r="AQ244" s="725">
        <v>14</v>
      </c>
      <c r="AR244" s="728">
        <v>0.71299999999999997</v>
      </c>
      <c r="AS244" s="729">
        <v>8</v>
      </c>
      <c r="AT244" s="728">
        <v>2.7999999999999997E-2</v>
      </c>
      <c r="AU244" s="730">
        <v>8</v>
      </c>
      <c r="AV244" s="731">
        <v>8.5999999999999993E-2</v>
      </c>
      <c r="AW244" s="730">
        <v>9</v>
      </c>
      <c r="AX244" s="728">
        <v>8.1000000000000003E-2</v>
      </c>
      <c r="AY244" s="730">
        <v>9</v>
      </c>
      <c r="AZ244" s="728">
        <v>3.7999999999999999E-2</v>
      </c>
      <c r="BA244" s="730">
        <v>9</v>
      </c>
      <c r="BB244" s="733">
        <v>0.21299999999999999</v>
      </c>
      <c r="BC244" s="730">
        <v>6</v>
      </c>
      <c r="BD244" s="6"/>
    </row>
    <row r="245" spans="7:56" s="704" customFormat="1" ht="15">
      <c r="G245" s="1546"/>
      <c r="W245" s="6"/>
      <c r="X245" s="87"/>
      <c r="Y245" s="87"/>
      <c r="Z245" s="739"/>
      <c r="AA245" s="739"/>
      <c r="AB245" s="743"/>
      <c r="AC245" s="108"/>
      <c r="AD245" s="108"/>
      <c r="AE245" s="770" t="s">
        <v>2540</v>
      </c>
      <c r="AF245" s="771" t="s">
        <v>1450</v>
      </c>
      <c r="AG245" s="108"/>
      <c r="AH245" s="454" t="s">
        <v>439</v>
      </c>
      <c r="AI245" s="455">
        <v>111</v>
      </c>
      <c r="AJ245" s="724">
        <v>9.2935902096207446E-2</v>
      </c>
      <c r="AK245" s="725">
        <v>12</v>
      </c>
      <c r="AL245" s="726">
        <v>45426</v>
      </c>
      <c r="AM245" s="725">
        <v>14</v>
      </c>
      <c r="AN245" s="727">
        <v>0.45500000000000002</v>
      </c>
      <c r="AO245" s="725">
        <v>10</v>
      </c>
      <c r="AP245" s="727">
        <v>6.8000000000000005E-2</v>
      </c>
      <c r="AQ245" s="725">
        <v>14</v>
      </c>
      <c r="AR245" s="728">
        <v>0.78900000000000003</v>
      </c>
      <c r="AS245" s="729">
        <v>9</v>
      </c>
      <c r="AT245" s="728">
        <v>2.5000000000000001E-2</v>
      </c>
      <c r="AU245" s="730">
        <v>8</v>
      </c>
      <c r="AV245" s="731">
        <v>0.109</v>
      </c>
      <c r="AW245" s="730">
        <v>9</v>
      </c>
      <c r="AX245" s="728">
        <v>0.18600000000000003</v>
      </c>
      <c r="AY245" s="730">
        <v>7</v>
      </c>
      <c r="AZ245" s="728">
        <v>0.06</v>
      </c>
      <c r="BA245" s="730">
        <v>8</v>
      </c>
      <c r="BB245" s="733">
        <v>5.7999999999999996E-2</v>
      </c>
      <c r="BC245" s="730">
        <v>2</v>
      </c>
      <c r="BD245" s="6"/>
    </row>
    <row r="246" spans="7:56" s="704" customFormat="1" ht="15">
      <c r="G246" s="1546"/>
      <c r="W246" s="6"/>
      <c r="X246" s="87"/>
      <c r="Y246" s="87"/>
      <c r="Z246" s="739"/>
      <c r="AA246" s="739"/>
      <c r="AB246" s="743"/>
      <c r="AC246" s="108"/>
      <c r="AD246" s="108"/>
      <c r="AE246" s="770" t="s">
        <v>2541</v>
      </c>
      <c r="AF246" s="771" t="s">
        <v>1450</v>
      </c>
      <c r="AG246" s="108"/>
      <c r="AH246" s="454" t="s">
        <v>439</v>
      </c>
      <c r="AI246" s="455">
        <v>112</v>
      </c>
      <c r="AJ246" s="724">
        <v>9.2935902096207446E-2</v>
      </c>
      <c r="AK246" s="725">
        <v>12</v>
      </c>
      <c r="AL246" s="726">
        <v>45426</v>
      </c>
      <c r="AM246" s="725">
        <v>14</v>
      </c>
      <c r="AN246" s="727">
        <v>0.45500000000000002</v>
      </c>
      <c r="AO246" s="725">
        <v>10</v>
      </c>
      <c r="AP246" s="727">
        <v>6.8000000000000005E-2</v>
      </c>
      <c r="AQ246" s="725">
        <v>14</v>
      </c>
      <c r="AR246" s="728">
        <v>0.746</v>
      </c>
      <c r="AS246" s="729">
        <v>8</v>
      </c>
      <c r="AT246" s="728">
        <v>0</v>
      </c>
      <c r="AU246" s="730">
        <v>10</v>
      </c>
      <c r="AV246" s="731">
        <v>0.128</v>
      </c>
      <c r="AW246" s="730">
        <v>9</v>
      </c>
      <c r="AX246" s="728">
        <v>0.15</v>
      </c>
      <c r="AY246" s="730">
        <v>8</v>
      </c>
      <c r="AZ246" s="728">
        <v>5.9000000000000004E-2</v>
      </c>
      <c r="BA246" s="730">
        <v>8</v>
      </c>
      <c r="BB246" s="733">
        <v>0.10400000000000001</v>
      </c>
      <c r="BC246" s="730">
        <v>3</v>
      </c>
      <c r="BD246" s="6"/>
    </row>
    <row r="247" spans="7:56" s="704" customFormat="1" ht="15">
      <c r="G247" s="1546"/>
      <c r="W247" s="6"/>
      <c r="X247" s="87"/>
      <c r="Y247" s="87"/>
      <c r="Z247" s="739"/>
      <c r="AA247" s="739"/>
      <c r="AB247" s="743"/>
      <c r="AC247" s="108"/>
      <c r="AD247" s="108"/>
      <c r="AE247" s="770" t="s">
        <v>2542</v>
      </c>
      <c r="AF247" s="771" t="s">
        <v>653</v>
      </c>
      <c r="AG247" s="108"/>
      <c r="AH247" s="454" t="s">
        <v>439</v>
      </c>
      <c r="AI247" s="455">
        <v>113.01</v>
      </c>
      <c r="AJ247" s="724">
        <v>9.2935902096207446E-2</v>
      </c>
      <c r="AK247" s="725">
        <v>12</v>
      </c>
      <c r="AL247" s="726">
        <v>45426</v>
      </c>
      <c r="AM247" s="725">
        <v>14</v>
      </c>
      <c r="AN247" s="727">
        <v>0.45500000000000002</v>
      </c>
      <c r="AO247" s="725">
        <v>10</v>
      </c>
      <c r="AP247" s="727">
        <v>6.8000000000000005E-2</v>
      </c>
      <c r="AQ247" s="725">
        <v>14</v>
      </c>
      <c r="AR247" s="728">
        <v>0.78500000000000003</v>
      </c>
      <c r="AS247" s="729">
        <v>9</v>
      </c>
      <c r="AT247" s="728">
        <v>8.199999999999999E-2</v>
      </c>
      <c r="AU247" s="730">
        <v>3</v>
      </c>
      <c r="AV247" s="731">
        <v>0.19899999999999998</v>
      </c>
      <c r="AW247" s="730">
        <v>8</v>
      </c>
      <c r="AX247" s="728">
        <v>0.19500000000000001</v>
      </c>
      <c r="AY247" s="730">
        <v>7</v>
      </c>
      <c r="AZ247" s="728">
        <v>7.8E-2</v>
      </c>
      <c r="BA247" s="730">
        <v>8</v>
      </c>
      <c r="BB247" s="733">
        <v>0.11</v>
      </c>
      <c r="BC247" s="730">
        <v>3</v>
      </c>
      <c r="BD247" s="6"/>
    </row>
    <row r="248" spans="7:56" s="704" customFormat="1" ht="15">
      <c r="G248" s="1546"/>
      <c r="W248" s="6"/>
      <c r="X248" s="87"/>
      <c r="Y248" s="87"/>
      <c r="Z248" s="739"/>
      <c r="AA248" s="739"/>
      <c r="AB248" s="743"/>
      <c r="AC248" s="108"/>
      <c r="AD248" s="108"/>
      <c r="AE248" s="770" t="s">
        <v>1752</v>
      </c>
      <c r="AF248" s="771" t="s">
        <v>653</v>
      </c>
      <c r="AG248" s="108"/>
      <c r="AH248" s="454" t="s">
        <v>439</v>
      </c>
      <c r="AI248" s="455">
        <v>113.02</v>
      </c>
      <c r="AJ248" s="724">
        <v>9.2935902096207446E-2</v>
      </c>
      <c r="AK248" s="725">
        <v>12</v>
      </c>
      <c r="AL248" s="726">
        <v>45426</v>
      </c>
      <c r="AM248" s="725">
        <v>14</v>
      </c>
      <c r="AN248" s="727">
        <v>0.45500000000000002</v>
      </c>
      <c r="AO248" s="725">
        <v>10</v>
      </c>
      <c r="AP248" s="727">
        <v>6.8000000000000005E-2</v>
      </c>
      <c r="AQ248" s="725">
        <v>14</v>
      </c>
      <c r="AR248" s="728">
        <v>0.80599999999999994</v>
      </c>
      <c r="AS248" s="729">
        <v>9</v>
      </c>
      <c r="AT248" s="728">
        <v>6.9999999999999993E-3</v>
      </c>
      <c r="AU248" s="730">
        <v>10</v>
      </c>
      <c r="AV248" s="731">
        <v>8.900000000000001E-2</v>
      </c>
      <c r="AW248" s="730">
        <v>9</v>
      </c>
      <c r="AX248" s="728">
        <v>0.125</v>
      </c>
      <c r="AY248" s="730">
        <v>8</v>
      </c>
      <c r="AZ248" s="728">
        <v>4.0999999999999995E-2</v>
      </c>
      <c r="BA248" s="730">
        <v>9</v>
      </c>
      <c r="BB248" s="733">
        <v>0.11199999999999999</v>
      </c>
      <c r="BC248" s="730">
        <v>3</v>
      </c>
      <c r="BD248" s="6"/>
    </row>
    <row r="249" spans="7:56" s="704" customFormat="1" ht="15">
      <c r="G249" s="1546"/>
      <c r="W249" s="6"/>
      <c r="X249" s="87"/>
      <c r="Y249" s="87"/>
      <c r="Z249" s="739"/>
      <c r="AA249" s="739"/>
      <c r="AB249" s="743"/>
      <c r="AC249" s="108"/>
      <c r="AD249" s="108"/>
      <c r="AE249" s="770" t="s">
        <v>1152</v>
      </c>
      <c r="AF249" s="771" t="s">
        <v>653</v>
      </c>
      <c r="AG249" s="108"/>
      <c r="AH249" s="454" t="s">
        <v>439</v>
      </c>
      <c r="AI249" s="455">
        <v>114.01</v>
      </c>
      <c r="AJ249" s="724">
        <v>9.2935902096207446E-2</v>
      </c>
      <c r="AK249" s="725">
        <v>12</v>
      </c>
      <c r="AL249" s="726">
        <v>45426</v>
      </c>
      <c r="AM249" s="725">
        <v>14</v>
      </c>
      <c r="AN249" s="727">
        <v>0.45500000000000002</v>
      </c>
      <c r="AO249" s="725">
        <v>10</v>
      </c>
      <c r="AP249" s="727">
        <v>6.8000000000000005E-2</v>
      </c>
      <c r="AQ249" s="725">
        <v>14</v>
      </c>
      <c r="AR249" s="728">
        <v>0.67500000000000004</v>
      </c>
      <c r="AS249" s="729">
        <v>8</v>
      </c>
      <c r="AT249" s="728">
        <v>6.9999999999999993E-3</v>
      </c>
      <c r="AU249" s="730">
        <v>10</v>
      </c>
      <c r="AV249" s="731">
        <v>0.13900000000000001</v>
      </c>
      <c r="AW249" s="730">
        <v>9</v>
      </c>
      <c r="AX249" s="728">
        <v>0.126</v>
      </c>
      <c r="AY249" s="730">
        <v>8</v>
      </c>
      <c r="AZ249" s="728">
        <v>3.3000000000000002E-2</v>
      </c>
      <c r="BA249" s="730">
        <v>9</v>
      </c>
      <c r="BB249" s="733">
        <v>0.10199999999999999</v>
      </c>
      <c r="BC249" s="730">
        <v>3</v>
      </c>
      <c r="BD249" s="6"/>
    </row>
    <row r="250" spans="7:56" s="704" customFormat="1" ht="15">
      <c r="G250" s="1546"/>
      <c r="W250" s="6"/>
      <c r="X250" s="87"/>
      <c r="Y250" s="87"/>
      <c r="Z250" s="739"/>
      <c r="AA250" s="739"/>
      <c r="AB250" s="743"/>
      <c r="AC250" s="108"/>
      <c r="AD250" s="108"/>
      <c r="AE250" s="770" t="s">
        <v>1153</v>
      </c>
      <c r="AF250" s="771" t="s">
        <v>1450</v>
      </c>
      <c r="AG250" s="108"/>
      <c r="AH250" s="454" t="s">
        <v>439</v>
      </c>
      <c r="AI250" s="455">
        <v>114.02</v>
      </c>
      <c r="AJ250" s="724">
        <v>9.2935902096207446E-2</v>
      </c>
      <c r="AK250" s="725">
        <v>12</v>
      </c>
      <c r="AL250" s="726">
        <v>45426</v>
      </c>
      <c r="AM250" s="725">
        <v>14</v>
      </c>
      <c r="AN250" s="727">
        <v>0.45500000000000002</v>
      </c>
      <c r="AO250" s="725">
        <v>10</v>
      </c>
      <c r="AP250" s="727">
        <v>6.8000000000000005E-2</v>
      </c>
      <c r="AQ250" s="725">
        <v>14</v>
      </c>
      <c r="AR250" s="728">
        <v>0.74099999999999999</v>
      </c>
      <c r="AS250" s="729">
        <v>8</v>
      </c>
      <c r="AT250" s="728">
        <v>0</v>
      </c>
      <c r="AU250" s="730">
        <v>10</v>
      </c>
      <c r="AV250" s="731">
        <v>0.127</v>
      </c>
      <c r="AW250" s="730">
        <v>9</v>
      </c>
      <c r="AX250" s="728">
        <v>0.17</v>
      </c>
      <c r="AY250" s="730">
        <v>8</v>
      </c>
      <c r="AZ250" s="728">
        <v>3.6000000000000004E-2</v>
      </c>
      <c r="BA250" s="730">
        <v>9</v>
      </c>
      <c r="BB250" s="733">
        <v>5.5999999999999994E-2</v>
      </c>
      <c r="BC250" s="730">
        <v>2</v>
      </c>
      <c r="BD250" s="6"/>
    </row>
    <row r="251" spans="7:56" s="704" customFormat="1" ht="15">
      <c r="G251" s="1546"/>
      <c r="W251" s="6"/>
      <c r="X251" s="87"/>
      <c r="Y251" s="87"/>
      <c r="Z251" s="739"/>
      <c r="AA251" s="739"/>
      <c r="AB251" s="743"/>
      <c r="AC251" s="108"/>
      <c r="AD251" s="108"/>
      <c r="AE251" s="770" t="s">
        <v>1154</v>
      </c>
      <c r="AF251" s="771" t="s">
        <v>1450</v>
      </c>
      <c r="AG251" s="108"/>
      <c r="AH251" s="454" t="s">
        <v>439</v>
      </c>
      <c r="AI251" s="455">
        <v>115</v>
      </c>
      <c r="AJ251" s="724">
        <v>9.2935902096207446E-2</v>
      </c>
      <c r="AK251" s="725">
        <v>12</v>
      </c>
      <c r="AL251" s="726">
        <v>45426</v>
      </c>
      <c r="AM251" s="725">
        <v>14</v>
      </c>
      <c r="AN251" s="727">
        <v>0.45500000000000002</v>
      </c>
      <c r="AO251" s="725">
        <v>10</v>
      </c>
      <c r="AP251" s="727">
        <v>6.8000000000000005E-2</v>
      </c>
      <c r="AQ251" s="725">
        <v>14</v>
      </c>
      <c r="AR251" s="728">
        <v>0.60699999999999998</v>
      </c>
      <c r="AS251" s="729">
        <v>7</v>
      </c>
      <c r="AT251" s="728">
        <v>0.01</v>
      </c>
      <c r="AU251" s="730">
        <v>10</v>
      </c>
      <c r="AV251" s="731">
        <v>0.159</v>
      </c>
      <c r="AW251" s="730">
        <v>8</v>
      </c>
      <c r="AX251" s="728">
        <v>0.155</v>
      </c>
      <c r="AY251" s="730">
        <v>8</v>
      </c>
      <c r="AZ251" s="728">
        <v>0.13300000000000001</v>
      </c>
      <c r="BA251" s="730">
        <v>6</v>
      </c>
      <c r="BB251" s="733">
        <v>0.11800000000000001</v>
      </c>
      <c r="BC251" s="730">
        <v>4</v>
      </c>
      <c r="BD251" s="6"/>
    </row>
    <row r="252" spans="7:56" s="704" customFormat="1" ht="15">
      <c r="G252" s="1546"/>
      <c r="W252" s="6"/>
      <c r="X252" s="87"/>
      <c r="Y252" s="87"/>
      <c r="Z252" s="739"/>
      <c r="AA252" s="739"/>
      <c r="AB252" s="743"/>
      <c r="AC252" s="108"/>
      <c r="AD252" s="108"/>
      <c r="AE252" s="770" t="s">
        <v>1155</v>
      </c>
      <c r="AF252" s="771" t="s">
        <v>653</v>
      </c>
      <c r="AG252" s="108"/>
      <c r="AH252" s="454" t="s">
        <v>439</v>
      </c>
      <c r="AI252" s="455">
        <v>118</v>
      </c>
      <c r="AJ252" s="724">
        <v>9.2935902096207446E-2</v>
      </c>
      <c r="AK252" s="725">
        <v>12</v>
      </c>
      <c r="AL252" s="726">
        <v>45426</v>
      </c>
      <c r="AM252" s="725">
        <v>14</v>
      </c>
      <c r="AN252" s="727">
        <v>0.45500000000000002</v>
      </c>
      <c r="AO252" s="725">
        <v>10</v>
      </c>
      <c r="AP252" s="727">
        <v>6.8000000000000005E-2</v>
      </c>
      <c r="AQ252" s="725">
        <v>14</v>
      </c>
      <c r="AR252" s="728">
        <v>0.873</v>
      </c>
      <c r="AS252" s="729">
        <v>10</v>
      </c>
      <c r="AT252" s="728">
        <v>1.3999999999999999E-2</v>
      </c>
      <c r="AU252" s="730">
        <v>9</v>
      </c>
      <c r="AV252" s="731">
        <v>0.20300000000000001</v>
      </c>
      <c r="AW252" s="730">
        <v>8</v>
      </c>
      <c r="AX252" s="728">
        <v>0.17399999999999999</v>
      </c>
      <c r="AY252" s="730">
        <v>8</v>
      </c>
      <c r="AZ252" s="728">
        <v>4.4000000000000004E-2</v>
      </c>
      <c r="BA252" s="730">
        <v>9</v>
      </c>
      <c r="BB252" s="733">
        <v>6.4000000000000001E-2</v>
      </c>
      <c r="BC252" s="730">
        <v>2</v>
      </c>
      <c r="BD252" s="6"/>
    </row>
    <row r="253" spans="7:56" s="704" customFormat="1" ht="15">
      <c r="G253" s="1546"/>
      <c r="W253" s="6"/>
      <c r="X253" s="87"/>
      <c r="Y253" s="87"/>
      <c r="Z253" s="739"/>
      <c r="AA253" s="739"/>
      <c r="AB253" s="743"/>
      <c r="AC253" s="108"/>
      <c r="AD253" s="108"/>
      <c r="AE253" s="770" t="s">
        <v>1156</v>
      </c>
      <c r="AF253" s="771" t="s">
        <v>653</v>
      </c>
      <c r="AG253" s="108"/>
      <c r="AH253" s="454" t="s">
        <v>439</v>
      </c>
      <c r="AI253" s="455">
        <v>121</v>
      </c>
      <c r="AJ253" s="724">
        <v>9.2935902096207446E-2</v>
      </c>
      <c r="AK253" s="725">
        <v>12</v>
      </c>
      <c r="AL253" s="726">
        <v>45426</v>
      </c>
      <c r="AM253" s="725">
        <v>14</v>
      </c>
      <c r="AN253" s="727">
        <v>0.45500000000000002</v>
      </c>
      <c r="AO253" s="725">
        <v>10</v>
      </c>
      <c r="AP253" s="727">
        <v>6.8000000000000005E-2</v>
      </c>
      <c r="AQ253" s="725">
        <v>14</v>
      </c>
      <c r="AR253" s="728">
        <v>0.72</v>
      </c>
      <c r="AS253" s="729">
        <v>8</v>
      </c>
      <c r="AT253" s="728">
        <v>2.3E-2</v>
      </c>
      <c r="AU253" s="730">
        <v>8</v>
      </c>
      <c r="AV253" s="731">
        <v>0.24100000000000002</v>
      </c>
      <c r="AW253" s="730">
        <v>7</v>
      </c>
      <c r="AX253" s="728">
        <v>0.187</v>
      </c>
      <c r="AY253" s="730">
        <v>7</v>
      </c>
      <c r="AZ253" s="728">
        <v>0.14000000000000001</v>
      </c>
      <c r="BA253" s="730">
        <v>6</v>
      </c>
      <c r="BB253" s="733">
        <v>7.6999999999999999E-2</v>
      </c>
      <c r="BC253" s="730">
        <v>3</v>
      </c>
      <c r="BD253" s="6"/>
    </row>
    <row r="254" spans="7:56" s="704" customFormat="1" ht="15">
      <c r="G254" s="1546"/>
      <c r="W254" s="6"/>
      <c r="X254" s="87"/>
      <c r="Y254" s="87"/>
      <c r="Z254" s="739"/>
      <c r="AA254" s="739"/>
      <c r="AB254" s="743"/>
      <c r="AC254" s="108"/>
      <c r="AD254" s="108"/>
      <c r="AE254" s="770" t="s">
        <v>1157</v>
      </c>
      <c r="AF254" s="771" t="s">
        <v>653</v>
      </c>
      <c r="AG254" s="108"/>
      <c r="AH254" s="454" t="s">
        <v>439</v>
      </c>
      <c r="AI254" s="455">
        <v>122</v>
      </c>
      <c r="AJ254" s="724">
        <v>9.2935902096207446E-2</v>
      </c>
      <c r="AK254" s="725">
        <v>12</v>
      </c>
      <c r="AL254" s="726">
        <v>45426</v>
      </c>
      <c r="AM254" s="725">
        <v>14</v>
      </c>
      <c r="AN254" s="727">
        <v>0.45500000000000002</v>
      </c>
      <c r="AO254" s="725">
        <v>10</v>
      </c>
      <c r="AP254" s="727">
        <v>6.8000000000000005E-2</v>
      </c>
      <c r="AQ254" s="725">
        <v>14</v>
      </c>
      <c r="AR254" s="728">
        <v>0.78900000000000003</v>
      </c>
      <c r="AS254" s="729">
        <v>9</v>
      </c>
      <c r="AT254" s="728">
        <v>1.6E-2</v>
      </c>
      <c r="AU254" s="730">
        <v>9</v>
      </c>
      <c r="AV254" s="731">
        <v>0.318</v>
      </c>
      <c r="AW254" s="730">
        <v>6</v>
      </c>
      <c r="AX254" s="728">
        <v>0.26100000000000001</v>
      </c>
      <c r="AY254" s="730">
        <v>6</v>
      </c>
      <c r="AZ254" s="728">
        <v>0.16500000000000001</v>
      </c>
      <c r="BA254" s="730">
        <v>5</v>
      </c>
      <c r="BB254" s="733">
        <v>5.4000000000000006E-2</v>
      </c>
      <c r="BC254" s="730">
        <v>2</v>
      </c>
      <c r="BD254" s="6"/>
    </row>
    <row r="255" spans="7:56" s="704" customFormat="1" ht="15">
      <c r="G255" s="1546"/>
      <c r="W255" s="6"/>
      <c r="X255" s="87"/>
      <c r="Y255" s="87"/>
      <c r="Z255" s="739"/>
      <c r="AA255" s="739"/>
      <c r="AB255" s="743"/>
      <c r="AC255" s="108"/>
      <c r="AD255" s="108"/>
      <c r="AE255" s="770" t="s">
        <v>1158</v>
      </c>
      <c r="AF255" s="771" t="s">
        <v>653</v>
      </c>
      <c r="AG255" s="108"/>
      <c r="AH255" s="454" t="s">
        <v>439</v>
      </c>
      <c r="AI255" s="455">
        <v>123</v>
      </c>
      <c r="AJ255" s="724">
        <v>9.2935902096207446E-2</v>
      </c>
      <c r="AK255" s="725">
        <v>12</v>
      </c>
      <c r="AL255" s="726">
        <v>45426</v>
      </c>
      <c r="AM255" s="725">
        <v>14</v>
      </c>
      <c r="AN255" s="727">
        <v>0.45500000000000002</v>
      </c>
      <c r="AO255" s="725">
        <v>10</v>
      </c>
      <c r="AP255" s="727">
        <v>6.8000000000000005E-2</v>
      </c>
      <c r="AQ255" s="725">
        <v>14</v>
      </c>
      <c r="AR255" s="728">
        <v>0.77200000000000002</v>
      </c>
      <c r="AS255" s="729">
        <v>9</v>
      </c>
      <c r="AT255" s="728">
        <v>1E-3</v>
      </c>
      <c r="AU255" s="730">
        <v>10</v>
      </c>
      <c r="AV255" s="731">
        <v>0.129</v>
      </c>
      <c r="AW255" s="730">
        <v>9</v>
      </c>
      <c r="AX255" s="728">
        <v>0.129</v>
      </c>
      <c r="AY255" s="730">
        <v>8</v>
      </c>
      <c r="AZ255" s="728">
        <v>0.06</v>
      </c>
      <c r="BA255" s="730">
        <v>8</v>
      </c>
      <c r="BB255" s="733">
        <v>0.1</v>
      </c>
      <c r="BC255" s="730">
        <v>3</v>
      </c>
      <c r="BD255" s="6"/>
    </row>
    <row r="256" spans="7:56" s="704" customFormat="1" ht="15">
      <c r="G256" s="1546"/>
      <c r="W256" s="6"/>
      <c r="X256" s="87"/>
      <c r="Y256" s="87"/>
      <c r="Z256" s="739"/>
      <c r="AA256" s="739"/>
      <c r="AB256" s="743"/>
      <c r="AC256" s="108"/>
      <c r="AD256" s="108"/>
      <c r="AE256" s="770" t="s">
        <v>2543</v>
      </c>
      <c r="AF256" s="771" t="s">
        <v>653</v>
      </c>
      <c r="AG256" s="108"/>
      <c r="AH256" s="454" t="s">
        <v>439</v>
      </c>
      <c r="AI256" s="455">
        <v>128</v>
      </c>
      <c r="AJ256" s="724">
        <v>9.2935902096207446E-2</v>
      </c>
      <c r="AK256" s="725">
        <v>12</v>
      </c>
      <c r="AL256" s="726">
        <v>45426</v>
      </c>
      <c r="AM256" s="725">
        <v>14</v>
      </c>
      <c r="AN256" s="727">
        <v>0.45500000000000002</v>
      </c>
      <c r="AO256" s="725">
        <v>10</v>
      </c>
      <c r="AP256" s="727">
        <v>6.8000000000000005E-2</v>
      </c>
      <c r="AQ256" s="725">
        <v>14</v>
      </c>
      <c r="AR256" s="728">
        <v>0.81700000000000006</v>
      </c>
      <c r="AS256" s="729">
        <v>9</v>
      </c>
      <c r="AT256" s="728">
        <v>0</v>
      </c>
      <c r="AU256" s="730">
        <v>10</v>
      </c>
      <c r="AV256" s="731">
        <v>5.5999999999999994E-2</v>
      </c>
      <c r="AW256" s="730">
        <v>10</v>
      </c>
      <c r="AX256" s="728">
        <v>7.0999999999999994E-2</v>
      </c>
      <c r="AY256" s="730">
        <v>9</v>
      </c>
      <c r="AZ256" s="728">
        <v>6.5000000000000002E-2</v>
      </c>
      <c r="BA256" s="730">
        <v>8</v>
      </c>
      <c r="BB256" s="733">
        <v>0.254</v>
      </c>
      <c r="BC256" s="730">
        <v>7</v>
      </c>
      <c r="BD256" s="6"/>
    </row>
    <row r="257" spans="7:56" s="704" customFormat="1" ht="15">
      <c r="G257" s="1546"/>
      <c r="W257" s="6"/>
      <c r="X257" s="87"/>
      <c r="Y257" s="87"/>
      <c r="Z257" s="739"/>
      <c r="AA257" s="739"/>
      <c r="AB257" s="743"/>
      <c r="AC257" s="108"/>
      <c r="AD257" s="108"/>
      <c r="AE257" s="770" t="s">
        <v>1159</v>
      </c>
      <c r="AF257" s="771" t="s">
        <v>652</v>
      </c>
      <c r="AG257" s="108"/>
      <c r="AH257" s="454" t="s">
        <v>439</v>
      </c>
      <c r="AI257" s="455">
        <v>129</v>
      </c>
      <c r="AJ257" s="724">
        <v>9.2935902096207446E-2</v>
      </c>
      <c r="AK257" s="725">
        <v>12</v>
      </c>
      <c r="AL257" s="726">
        <v>45426</v>
      </c>
      <c r="AM257" s="725">
        <v>14</v>
      </c>
      <c r="AN257" s="727">
        <v>0.45500000000000002</v>
      </c>
      <c r="AO257" s="725">
        <v>10</v>
      </c>
      <c r="AP257" s="727">
        <v>6.8000000000000005E-2</v>
      </c>
      <c r="AQ257" s="725">
        <v>14</v>
      </c>
      <c r="AR257" s="728">
        <v>0.317</v>
      </c>
      <c r="AS257" s="729">
        <v>4</v>
      </c>
      <c r="AT257" s="728">
        <v>0</v>
      </c>
      <c r="AU257" s="730">
        <v>10</v>
      </c>
      <c r="AV257" s="731">
        <v>0.20499999999999999</v>
      </c>
      <c r="AW257" s="730">
        <v>8</v>
      </c>
      <c r="AX257" s="728">
        <v>0.09</v>
      </c>
      <c r="AY257" s="730">
        <v>9</v>
      </c>
      <c r="AZ257" s="728">
        <v>3.1E-2</v>
      </c>
      <c r="BA257" s="730">
        <v>9</v>
      </c>
      <c r="BB257" s="733">
        <v>0.16899999999999998</v>
      </c>
      <c r="BC257" s="730">
        <v>5</v>
      </c>
      <c r="BD257" s="6"/>
    </row>
    <row r="258" spans="7:56" s="704" customFormat="1" ht="15">
      <c r="G258" s="1546"/>
      <c r="W258" s="6"/>
      <c r="X258" s="87"/>
      <c r="Y258" s="87"/>
      <c r="Z258" s="739"/>
      <c r="AA258" s="739"/>
      <c r="AB258" s="743"/>
      <c r="AC258" s="108"/>
      <c r="AD258" s="108"/>
      <c r="AE258" s="770" t="s">
        <v>2784</v>
      </c>
      <c r="AF258" s="771" t="s">
        <v>1450</v>
      </c>
      <c r="AG258" s="108"/>
      <c r="AH258" s="454" t="s">
        <v>439</v>
      </c>
      <c r="AI258" s="455">
        <v>130</v>
      </c>
      <c r="AJ258" s="724">
        <v>9.2935902096207446E-2</v>
      </c>
      <c r="AK258" s="725">
        <v>12</v>
      </c>
      <c r="AL258" s="726">
        <v>45426</v>
      </c>
      <c r="AM258" s="725">
        <v>14</v>
      </c>
      <c r="AN258" s="727">
        <v>0.45500000000000002</v>
      </c>
      <c r="AO258" s="725">
        <v>10</v>
      </c>
      <c r="AP258" s="727">
        <v>6.8000000000000005E-2</v>
      </c>
      <c r="AQ258" s="725">
        <v>14</v>
      </c>
      <c r="AR258" s="728">
        <v>0.68599999999999994</v>
      </c>
      <c r="AS258" s="729">
        <v>8</v>
      </c>
      <c r="AT258" s="728">
        <v>0</v>
      </c>
      <c r="AU258" s="730">
        <v>10</v>
      </c>
      <c r="AV258" s="731">
        <v>0.20300000000000001</v>
      </c>
      <c r="AW258" s="730">
        <v>8</v>
      </c>
      <c r="AX258" s="728">
        <v>0.155</v>
      </c>
      <c r="AY258" s="730">
        <v>8</v>
      </c>
      <c r="AZ258" s="728">
        <v>3.2000000000000001E-2</v>
      </c>
      <c r="BA258" s="730">
        <v>9</v>
      </c>
      <c r="BB258" s="733">
        <v>9.8000000000000004E-2</v>
      </c>
      <c r="BC258" s="730">
        <v>3</v>
      </c>
      <c r="BD258" s="6"/>
    </row>
    <row r="259" spans="7:56" s="704" customFormat="1" ht="15">
      <c r="G259" s="1546"/>
      <c r="W259" s="6"/>
      <c r="X259" s="87"/>
      <c r="Y259" s="87"/>
      <c r="Z259" s="739"/>
      <c r="AA259" s="739"/>
      <c r="AB259" s="743"/>
      <c r="AC259" s="108"/>
      <c r="AD259" s="108"/>
      <c r="AE259" s="770" t="s">
        <v>2544</v>
      </c>
      <c r="AF259" s="771" t="s">
        <v>1450</v>
      </c>
      <c r="AG259" s="108"/>
      <c r="AH259" s="454" t="s">
        <v>439</v>
      </c>
      <c r="AI259" s="455">
        <v>131</v>
      </c>
      <c r="AJ259" s="724">
        <v>9.2935902096207446E-2</v>
      </c>
      <c r="AK259" s="725">
        <v>12</v>
      </c>
      <c r="AL259" s="726">
        <v>45426</v>
      </c>
      <c r="AM259" s="725">
        <v>14</v>
      </c>
      <c r="AN259" s="727">
        <v>0.45500000000000002</v>
      </c>
      <c r="AO259" s="725">
        <v>10</v>
      </c>
      <c r="AP259" s="727">
        <v>6.8000000000000005E-2</v>
      </c>
      <c r="AQ259" s="725">
        <v>14</v>
      </c>
      <c r="AR259" s="728">
        <v>0.67500000000000004</v>
      </c>
      <c r="AS259" s="729">
        <v>8</v>
      </c>
      <c r="AT259" s="728">
        <v>4.4999999999999998E-2</v>
      </c>
      <c r="AU259" s="730">
        <v>6</v>
      </c>
      <c r="AV259" s="731">
        <v>0.17800000000000002</v>
      </c>
      <c r="AW259" s="730">
        <v>8</v>
      </c>
      <c r="AX259" s="728">
        <v>0.23800000000000002</v>
      </c>
      <c r="AY259" s="730">
        <v>7</v>
      </c>
      <c r="AZ259" s="728">
        <v>5.7999999999999996E-2</v>
      </c>
      <c r="BA259" s="730">
        <v>9</v>
      </c>
      <c r="BB259" s="733">
        <v>0.14199999999999999</v>
      </c>
      <c r="BC259" s="730">
        <v>4</v>
      </c>
      <c r="BD259" s="6"/>
    </row>
    <row r="260" spans="7:56" s="704" customFormat="1" ht="15">
      <c r="G260" s="1546"/>
      <c r="W260" s="6"/>
      <c r="X260" s="87"/>
      <c r="Y260" s="87"/>
      <c r="Z260" s="739"/>
      <c r="AA260" s="739"/>
      <c r="AB260" s="743"/>
      <c r="AC260" s="108"/>
      <c r="AD260" s="108"/>
      <c r="AE260" s="770" t="s">
        <v>1160</v>
      </c>
      <c r="AF260" s="771" t="s">
        <v>653</v>
      </c>
      <c r="AG260" s="108"/>
      <c r="AH260" s="454" t="s">
        <v>439</v>
      </c>
      <c r="AI260" s="455">
        <v>132</v>
      </c>
      <c r="AJ260" s="724">
        <v>9.2935902096207446E-2</v>
      </c>
      <c r="AK260" s="725">
        <v>12</v>
      </c>
      <c r="AL260" s="726">
        <v>45426</v>
      </c>
      <c r="AM260" s="725">
        <v>14</v>
      </c>
      <c r="AN260" s="727">
        <v>0.45500000000000002</v>
      </c>
      <c r="AO260" s="725">
        <v>10</v>
      </c>
      <c r="AP260" s="727">
        <v>6.8000000000000005E-2</v>
      </c>
      <c r="AQ260" s="725">
        <v>14</v>
      </c>
      <c r="AR260" s="728">
        <v>0.80400000000000005</v>
      </c>
      <c r="AS260" s="729">
        <v>9</v>
      </c>
      <c r="AT260" s="728">
        <v>6.9999999999999993E-3</v>
      </c>
      <c r="AU260" s="730">
        <v>10</v>
      </c>
      <c r="AV260" s="731">
        <v>0.217</v>
      </c>
      <c r="AW260" s="730">
        <v>8</v>
      </c>
      <c r="AX260" s="728">
        <v>0.23300000000000001</v>
      </c>
      <c r="AY260" s="730">
        <v>7</v>
      </c>
      <c r="AZ260" s="728">
        <v>7.2000000000000008E-2</v>
      </c>
      <c r="BA260" s="730">
        <v>8</v>
      </c>
      <c r="BB260" s="733">
        <v>0.10400000000000001</v>
      </c>
      <c r="BC260" s="730">
        <v>3</v>
      </c>
      <c r="BD260" s="6"/>
    </row>
    <row r="261" spans="7:56" s="704" customFormat="1" ht="15">
      <c r="G261" s="1546"/>
      <c r="W261" s="6"/>
      <c r="X261" s="87"/>
      <c r="Y261" s="87"/>
      <c r="Z261" s="739"/>
      <c r="AA261" s="739"/>
      <c r="AB261" s="743"/>
      <c r="AC261" s="108"/>
      <c r="AD261" s="108"/>
      <c r="AE261" s="770" t="s">
        <v>2785</v>
      </c>
      <c r="AF261" s="771" t="s">
        <v>653</v>
      </c>
      <c r="AG261" s="108"/>
      <c r="AH261" s="454" t="s">
        <v>439</v>
      </c>
      <c r="AI261" s="455">
        <v>133</v>
      </c>
      <c r="AJ261" s="724">
        <v>9.2935902096207446E-2</v>
      </c>
      <c r="AK261" s="725">
        <v>12</v>
      </c>
      <c r="AL261" s="726">
        <v>45426</v>
      </c>
      <c r="AM261" s="725">
        <v>14</v>
      </c>
      <c r="AN261" s="727">
        <v>0.45500000000000002</v>
      </c>
      <c r="AO261" s="725">
        <v>10</v>
      </c>
      <c r="AP261" s="727">
        <v>6.8000000000000005E-2</v>
      </c>
      <c r="AQ261" s="725">
        <v>14</v>
      </c>
      <c r="AR261" s="728">
        <v>0.90300000000000002</v>
      </c>
      <c r="AS261" s="729">
        <v>10</v>
      </c>
      <c r="AT261" s="728">
        <v>0</v>
      </c>
      <c r="AU261" s="730">
        <v>10</v>
      </c>
      <c r="AV261" s="731">
        <v>3.6000000000000004E-2</v>
      </c>
      <c r="AW261" s="730">
        <v>10</v>
      </c>
      <c r="AX261" s="728">
        <v>1.6E-2</v>
      </c>
      <c r="AY261" s="730">
        <v>10</v>
      </c>
      <c r="AZ261" s="728">
        <v>4.4999999999999998E-2</v>
      </c>
      <c r="BA261" s="730">
        <v>9</v>
      </c>
      <c r="BB261" s="733">
        <v>0.17600000000000002</v>
      </c>
      <c r="BC261" s="730">
        <v>5</v>
      </c>
      <c r="BD261" s="6"/>
    </row>
    <row r="262" spans="7:56" s="704" customFormat="1" ht="15">
      <c r="G262" s="1546"/>
      <c r="W262" s="6"/>
      <c r="X262" s="87"/>
      <c r="Y262" s="87"/>
      <c r="Z262" s="739"/>
      <c r="AA262" s="739"/>
      <c r="AB262" s="743"/>
      <c r="AC262" s="108"/>
      <c r="AD262" s="108"/>
      <c r="AE262" s="770" t="s">
        <v>1753</v>
      </c>
      <c r="AF262" s="771" t="s">
        <v>652</v>
      </c>
      <c r="AG262" s="108"/>
      <c r="AH262" s="454" t="s">
        <v>439</v>
      </c>
      <c r="AI262" s="455">
        <v>134</v>
      </c>
      <c r="AJ262" s="724">
        <v>9.2935902096207446E-2</v>
      </c>
      <c r="AK262" s="725">
        <v>12</v>
      </c>
      <c r="AL262" s="726">
        <v>45426</v>
      </c>
      <c r="AM262" s="725">
        <v>14</v>
      </c>
      <c r="AN262" s="727">
        <v>0.45500000000000002</v>
      </c>
      <c r="AO262" s="725">
        <v>10</v>
      </c>
      <c r="AP262" s="727">
        <v>6.8000000000000005E-2</v>
      </c>
      <c r="AQ262" s="725">
        <v>14</v>
      </c>
      <c r="AR262" s="728">
        <v>0.55700000000000005</v>
      </c>
      <c r="AS262" s="729">
        <v>6</v>
      </c>
      <c r="AT262" s="728">
        <v>6.0999999999999999E-2</v>
      </c>
      <c r="AU262" s="730">
        <v>5</v>
      </c>
      <c r="AV262" s="731">
        <v>0.38700000000000001</v>
      </c>
      <c r="AW262" s="730">
        <v>5</v>
      </c>
      <c r="AX262" s="728">
        <v>0.27100000000000002</v>
      </c>
      <c r="AY262" s="730">
        <v>6</v>
      </c>
      <c r="AZ262" s="728">
        <v>0.14499999999999999</v>
      </c>
      <c r="BA262" s="730">
        <v>6</v>
      </c>
      <c r="BB262" s="733">
        <v>0.11199999999999999</v>
      </c>
      <c r="BC262" s="730">
        <v>3</v>
      </c>
      <c r="BD262" s="6"/>
    </row>
    <row r="263" spans="7:56" s="704" customFormat="1" ht="15">
      <c r="G263" s="1546"/>
      <c r="W263" s="6"/>
      <c r="X263" s="87"/>
      <c r="Y263" s="87"/>
      <c r="Z263" s="739"/>
      <c r="AA263" s="739"/>
      <c r="AB263" s="743"/>
      <c r="AC263" s="108"/>
      <c r="AD263" s="108"/>
      <c r="AE263" s="770" t="s">
        <v>1754</v>
      </c>
      <c r="AF263" s="771" t="s">
        <v>1450</v>
      </c>
      <c r="AG263" s="108"/>
      <c r="AH263" s="454" t="s">
        <v>439</v>
      </c>
      <c r="AI263" s="455">
        <v>135</v>
      </c>
      <c r="AJ263" s="724">
        <v>9.2935902096207446E-2</v>
      </c>
      <c r="AK263" s="725">
        <v>12</v>
      </c>
      <c r="AL263" s="726">
        <v>45426</v>
      </c>
      <c r="AM263" s="725">
        <v>14</v>
      </c>
      <c r="AN263" s="727">
        <v>0.45500000000000002</v>
      </c>
      <c r="AO263" s="725">
        <v>10</v>
      </c>
      <c r="AP263" s="727">
        <v>6.8000000000000005E-2</v>
      </c>
      <c r="AQ263" s="725">
        <v>14</v>
      </c>
      <c r="AR263" s="728">
        <v>0.78599999999999992</v>
      </c>
      <c r="AS263" s="729">
        <v>9</v>
      </c>
      <c r="AT263" s="728">
        <v>0</v>
      </c>
      <c r="AU263" s="730">
        <v>10</v>
      </c>
      <c r="AV263" s="731">
        <v>0.182</v>
      </c>
      <c r="AW263" s="730">
        <v>8</v>
      </c>
      <c r="AX263" s="728">
        <v>0.1</v>
      </c>
      <c r="AY263" s="730">
        <v>9</v>
      </c>
      <c r="AZ263" s="728">
        <v>0.10800000000000001</v>
      </c>
      <c r="BA263" s="730">
        <v>7</v>
      </c>
      <c r="BB263" s="733">
        <v>0.17</v>
      </c>
      <c r="BC263" s="730">
        <v>5</v>
      </c>
      <c r="BD263" s="6"/>
    </row>
    <row r="264" spans="7:56" s="704" customFormat="1" ht="15">
      <c r="G264" s="1546"/>
      <c r="W264" s="6"/>
      <c r="X264" s="87"/>
      <c r="Y264" s="87"/>
      <c r="Z264" s="739"/>
      <c r="AA264" s="739"/>
      <c r="AB264" s="743"/>
      <c r="AC264" s="108"/>
      <c r="AD264" s="108"/>
      <c r="AE264" s="770" t="s">
        <v>2786</v>
      </c>
      <c r="AF264" s="771" t="s">
        <v>652</v>
      </c>
      <c r="AG264" s="108"/>
      <c r="AH264" s="454" t="s">
        <v>439</v>
      </c>
      <c r="AI264" s="455">
        <v>136</v>
      </c>
      <c r="AJ264" s="724">
        <v>9.2935902096207446E-2</v>
      </c>
      <c r="AK264" s="725">
        <v>12</v>
      </c>
      <c r="AL264" s="726">
        <v>45426</v>
      </c>
      <c r="AM264" s="725">
        <v>14</v>
      </c>
      <c r="AN264" s="727">
        <v>0.45500000000000002</v>
      </c>
      <c r="AO264" s="725">
        <v>10</v>
      </c>
      <c r="AP264" s="727">
        <v>6.8000000000000005E-2</v>
      </c>
      <c r="AQ264" s="725">
        <v>14</v>
      </c>
      <c r="AR264" s="728">
        <v>0.66700000000000004</v>
      </c>
      <c r="AS264" s="729">
        <v>7</v>
      </c>
      <c r="AT264" s="728">
        <v>9.0000000000000011E-3</v>
      </c>
      <c r="AU264" s="730">
        <v>10</v>
      </c>
      <c r="AV264" s="731">
        <v>0.23699999999999999</v>
      </c>
      <c r="AW264" s="730">
        <v>7</v>
      </c>
      <c r="AX264" s="728">
        <v>0.109</v>
      </c>
      <c r="AY264" s="730">
        <v>9</v>
      </c>
      <c r="AZ264" s="728">
        <v>5.7999999999999996E-2</v>
      </c>
      <c r="BA264" s="730">
        <v>9</v>
      </c>
      <c r="BB264" s="733">
        <v>0.20800000000000002</v>
      </c>
      <c r="BC264" s="730">
        <v>6</v>
      </c>
      <c r="BD264" s="6"/>
    </row>
    <row r="265" spans="7:56" s="704" customFormat="1" ht="15">
      <c r="G265" s="1546"/>
      <c r="W265" s="6"/>
      <c r="X265" s="87"/>
      <c r="Y265" s="87"/>
      <c r="Z265" s="739"/>
      <c r="AA265" s="739"/>
      <c r="AB265" s="743"/>
      <c r="AC265" s="108"/>
      <c r="AD265" s="108"/>
      <c r="AE265" s="770" t="s">
        <v>2787</v>
      </c>
      <c r="AF265" s="771" t="s">
        <v>653</v>
      </c>
      <c r="AG265" s="108"/>
      <c r="AH265" s="454" t="s">
        <v>439</v>
      </c>
      <c r="AI265" s="455">
        <v>137.01</v>
      </c>
      <c r="AJ265" s="724">
        <v>9.2935902096207446E-2</v>
      </c>
      <c r="AK265" s="725">
        <v>12</v>
      </c>
      <c r="AL265" s="726">
        <v>45426</v>
      </c>
      <c r="AM265" s="725">
        <v>14</v>
      </c>
      <c r="AN265" s="727">
        <v>0.45500000000000002</v>
      </c>
      <c r="AO265" s="725">
        <v>10</v>
      </c>
      <c r="AP265" s="727">
        <v>6.8000000000000005E-2</v>
      </c>
      <c r="AQ265" s="725">
        <v>14</v>
      </c>
      <c r="AR265" s="728">
        <v>0.92500000000000004</v>
      </c>
      <c r="AS265" s="729">
        <v>10</v>
      </c>
      <c r="AT265" s="728">
        <v>8.0000000000000002E-3</v>
      </c>
      <c r="AU265" s="730">
        <v>10</v>
      </c>
      <c r="AV265" s="731">
        <v>0.05</v>
      </c>
      <c r="AW265" s="730">
        <v>10</v>
      </c>
      <c r="AX265" s="728">
        <v>5.4000000000000006E-2</v>
      </c>
      <c r="AY265" s="730">
        <v>10</v>
      </c>
      <c r="AZ265" s="728">
        <v>3.4000000000000002E-2</v>
      </c>
      <c r="BA265" s="730">
        <v>9</v>
      </c>
      <c r="BB265" s="733">
        <v>0.13100000000000001</v>
      </c>
      <c r="BC265" s="730">
        <v>4</v>
      </c>
      <c r="BD265" s="6"/>
    </row>
    <row r="266" spans="7:56" s="704" customFormat="1" ht="15">
      <c r="G266" s="1546"/>
      <c r="W266" s="6"/>
      <c r="X266" s="87"/>
      <c r="Y266" s="87"/>
      <c r="Z266" s="739"/>
      <c r="AA266" s="739"/>
      <c r="AB266" s="743"/>
      <c r="AC266" s="108"/>
      <c r="AD266" s="108"/>
      <c r="AE266" s="770" t="s">
        <v>1161</v>
      </c>
      <c r="AF266" s="771" t="s">
        <v>653</v>
      </c>
      <c r="AG266" s="108"/>
      <c r="AH266" s="454" t="s">
        <v>439</v>
      </c>
      <c r="AI266" s="455">
        <v>137.02000000000001</v>
      </c>
      <c r="AJ266" s="724">
        <v>9.2935902096207446E-2</v>
      </c>
      <c r="AK266" s="725">
        <v>12</v>
      </c>
      <c r="AL266" s="726">
        <v>45426</v>
      </c>
      <c r="AM266" s="725">
        <v>14</v>
      </c>
      <c r="AN266" s="727">
        <v>0.45500000000000002</v>
      </c>
      <c r="AO266" s="725">
        <v>10</v>
      </c>
      <c r="AP266" s="727">
        <v>6.8000000000000005E-2</v>
      </c>
      <c r="AQ266" s="725">
        <v>14</v>
      </c>
      <c r="AR266" s="728">
        <v>0.80200000000000005</v>
      </c>
      <c r="AS266" s="729">
        <v>9</v>
      </c>
      <c r="AT266" s="728">
        <v>0.02</v>
      </c>
      <c r="AU266" s="730">
        <v>9</v>
      </c>
      <c r="AV266" s="731">
        <v>0.16399999999999998</v>
      </c>
      <c r="AW266" s="730">
        <v>8</v>
      </c>
      <c r="AX266" s="728">
        <v>0.25900000000000001</v>
      </c>
      <c r="AY266" s="730">
        <v>6</v>
      </c>
      <c r="AZ266" s="728">
        <v>9.8000000000000004E-2</v>
      </c>
      <c r="BA266" s="730">
        <v>7</v>
      </c>
      <c r="BB266" s="733">
        <v>0.08</v>
      </c>
      <c r="BC266" s="730">
        <v>3</v>
      </c>
      <c r="BD266" s="6"/>
    </row>
    <row r="267" spans="7:56" s="704" customFormat="1" ht="15">
      <c r="G267" s="1546"/>
      <c r="W267" s="6"/>
      <c r="X267" s="87"/>
      <c r="Y267" s="87"/>
      <c r="Z267" s="739"/>
      <c r="AA267" s="739"/>
      <c r="AB267" s="743"/>
      <c r="AC267" s="108"/>
      <c r="AD267" s="108"/>
      <c r="AE267" s="770" t="s">
        <v>1162</v>
      </c>
      <c r="AF267" s="771" t="s">
        <v>653</v>
      </c>
      <c r="AG267" s="108"/>
      <c r="AH267" s="454" t="s">
        <v>439</v>
      </c>
      <c r="AI267" s="455">
        <v>138</v>
      </c>
      <c r="AJ267" s="724">
        <v>9.2935902096207446E-2</v>
      </c>
      <c r="AK267" s="725">
        <v>12</v>
      </c>
      <c r="AL267" s="726">
        <v>45426</v>
      </c>
      <c r="AM267" s="725">
        <v>14</v>
      </c>
      <c r="AN267" s="727">
        <v>0.45500000000000002</v>
      </c>
      <c r="AO267" s="725">
        <v>10</v>
      </c>
      <c r="AP267" s="727">
        <v>6.8000000000000005E-2</v>
      </c>
      <c r="AQ267" s="725">
        <v>14</v>
      </c>
      <c r="AR267" s="728">
        <v>0.56100000000000005</v>
      </c>
      <c r="AS267" s="729">
        <v>6</v>
      </c>
      <c r="AT267" s="728">
        <v>0</v>
      </c>
      <c r="AU267" s="730">
        <v>10</v>
      </c>
      <c r="AV267" s="731">
        <v>0.40799999999999997</v>
      </c>
      <c r="AW267" s="730">
        <v>5</v>
      </c>
      <c r="AX267" s="728">
        <v>0.45200000000000001</v>
      </c>
      <c r="AY267" s="730">
        <v>3</v>
      </c>
      <c r="AZ267" s="728">
        <v>0.14000000000000001</v>
      </c>
      <c r="BA267" s="730">
        <v>6</v>
      </c>
      <c r="BB267" s="733">
        <v>9.0999999999999998E-2</v>
      </c>
      <c r="BC267" s="730">
        <v>3</v>
      </c>
      <c r="BD267" s="6"/>
    </row>
    <row r="268" spans="7:56" s="704" customFormat="1" ht="15">
      <c r="G268" s="1546"/>
      <c r="W268" s="6"/>
      <c r="X268" s="87"/>
      <c r="Y268" s="87"/>
      <c r="Z268" s="739"/>
      <c r="AA268" s="739"/>
      <c r="AB268" s="743"/>
      <c r="AC268" s="108"/>
      <c r="AD268" s="108"/>
      <c r="AE268" s="770" t="s">
        <v>1163</v>
      </c>
      <c r="AF268" s="771" t="s">
        <v>1450</v>
      </c>
      <c r="AG268" s="108"/>
      <c r="AH268" s="454" t="s">
        <v>440</v>
      </c>
      <c r="AI268" s="455">
        <v>9672</v>
      </c>
      <c r="AJ268" s="724">
        <v>7.1176173649671881E-2</v>
      </c>
      <c r="AK268" s="725">
        <v>18</v>
      </c>
      <c r="AL268" s="726">
        <v>39423</v>
      </c>
      <c r="AM268" s="725">
        <v>16</v>
      </c>
      <c r="AN268" s="727">
        <v>0.47100000000000003</v>
      </c>
      <c r="AO268" s="725">
        <v>12</v>
      </c>
      <c r="AP268" s="727">
        <v>6.8000000000000005E-2</v>
      </c>
      <c r="AQ268" s="725">
        <v>14</v>
      </c>
      <c r="AR268" s="728">
        <v>0.76900000000000002</v>
      </c>
      <c r="AS268" s="729">
        <v>9</v>
      </c>
      <c r="AT268" s="728">
        <v>2.3E-2</v>
      </c>
      <c r="AU268" s="730">
        <v>8</v>
      </c>
      <c r="AV268" s="731">
        <v>0.14499999999999999</v>
      </c>
      <c r="AW268" s="730">
        <v>9</v>
      </c>
      <c r="AX268" s="728">
        <v>0.21199999999999999</v>
      </c>
      <c r="AY268" s="730">
        <v>7</v>
      </c>
      <c r="AZ268" s="728">
        <v>2.7999999999999997E-2</v>
      </c>
      <c r="BA268" s="730">
        <v>10</v>
      </c>
      <c r="BB268" s="733">
        <v>0.10199999999999999</v>
      </c>
      <c r="BC268" s="730">
        <v>3</v>
      </c>
      <c r="BD268" s="6"/>
    </row>
    <row r="269" spans="7:56" s="704" customFormat="1" ht="15">
      <c r="G269" s="1546"/>
      <c r="W269" s="6"/>
      <c r="X269" s="87"/>
      <c r="Y269" s="87"/>
      <c r="Z269" s="739"/>
      <c r="AA269" s="739"/>
      <c r="AB269" s="743"/>
      <c r="AC269" s="108"/>
      <c r="AD269" s="108"/>
      <c r="AE269" s="770" t="s">
        <v>2545</v>
      </c>
      <c r="AF269" s="771" t="s">
        <v>1450</v>
      </c>
      <c r="AG269" s="108"/>
      <c r="AH269" s="454" t="s">
        <v>440</v>
      </c>
      <c r="AI269" s="455">
        <v>9673</v>
      </c>
      <c r="AJ269" s="724">
        <v>7.1176173649671881E-2</v>
      </c>
      <c r="AK269" s="725">
        <v>18</v>
      </c>
      <c r="AL269" s="726">
        <v>39423</v>
      </c>
      <c r="AM269" s="725">
        <v>16</v>
      </c>
      <c r="AN269" s="727">
        <v>0.47100000000000003</v>
      </c>
      <c r="AO269" s="725">
        <v>12</v>
      </c>
      <c r="AP269" s="727">
        <v>6.8000000000000005E-2</v>
      </c>
      <c r="AQ269" s="725">
        <v>14</v>
      </c>
      <c r="AR269" s="728">
        <v>0.753</v>
      </c>
      <c r="AS269" s="729">
        <v>8</v>
      </c>
      <c r="AT269" s="728">
        <v>3.2000000000000001E-2</v>
      </c>
      <c r="AU269" s="730">
        <v>8</v>
      </c>
      <c r="AV269" s="731">
        <v>0.21299999999999999</v>
      </c>
      <c r="AW269" s="730">
        <v>8</v>
      </c>
      <c r="AX269" s="728">
        <v>0.14000000000000001</v>
      </c>
      <c r="AY269" s="730">
        <v>8</v>
      </c>
      <c r="AZ269" s="728">
        <v>4.5999999999999999E-2</v>
      </c>
      <c r="BA269" s="730">
        <v>9</v>
      </c>
      <c r="BB269" s="733">
        <v>8.4000000000000005E-2</v>
      </c>
      <c r="BC269" s="730">
        <v>3</v>
      </c>
      <c r="BD269" s="6"/>
    </row>
    <row r="270" spans="7:56" s="704" customFormat="1" ht="15">
      <c r="G270" s="1546"/>
      <c r="W270" s="6"/>
      <c r="X270" s="87"/>
      <c r="Y270" s="87"/>
      <c r="Z270" s="739"/>
      <c r="AA270" s="739"/>
      <c r="AB270" s="743"/>
      <c r="AC270" s="108"/>
      <c r="AD270" s="108"/>
      <c r="AE270" s="770" t="s">
        <v>1164</v>
      </c>
      <c r="AF270" s="771" t="s">
        <v>1450</v>
      </c>
      <c r="AG270" s="108"/>
      <c r="AH270" s="454" t="s">
        <v>440</v>
      </c>
      <c r="AI270" s="455">
        <v>9674</v>
      </c>
      <c r="AJ270" s="724">
        <v>7.1176173649671881E-2</v>
      </c>
      <c r="AK270" s="725">
        <v>18</v>
      </c>
      <c r="AL270" s="726">
        <v>39423</v>
      </c>
      <c r="AM270" s="725">
        <v>16</v>
      </c>
      <c r="AN270" s="727">
        <v>0.47100000000000003</v>
      </c>
      <c r="AO270" s="725">
        <v>12</v>
      </c>
      <c r="AP270" s="727">
        <v>6.8000000000000005E-2</v>
      </c>
      <c r="AQ270" s="725">
        <v>14</v>
      </c>
      <c r="AR270" s="728">
        <v>0.57100000000000006</v>
      </c>
      <c r="AS270" s="729">
        <v>6</v>
      </c>
      <c r="AT270" s="728">
        <v>2.3E-2</v>
      </c>
      <c r="AU270" s="730">
        <v>8</v>
      </c>
      <c r="AV270" s="731">
        <v>0.28199999999999997</v>
      </c>
      <c r="AW270" s="730">
        <v>7</v>
      </c>
      <c r="AX270" s="728">
        <v>0.23499999999999999</v>
      </c>
      <c r="AY270" s="730">
        <v>7</v>
      </c>
      <c r="AZ270" s="728">
        <v>0.107</v>
      </c>
      <c r="BA270" s="730">
        <v>7</v>
      </c>
      <c r="BB270" s="733">
        <v>5.7999999999999996E-2</v>
      </c>
      <c r="BC270" s="730">
        <v>2</v>
      </c>
      <c r="BD270" s="6"/>
    </row>
    <row r="271" spans="7:56" s="704" customFormat="1" ht="15">
      <c r="G271" s="1546"/>
      <c r="W271" s="6"/>
      <c r="X271" s="87"/>
      <c r="Y271" s="87"/>
      <c r="Z271" s="739"/>
      <c r="AA271" s="739"/>
      <c r="AB271" s="743"/>
      <c r="AC271" s="108"/>
      <c r="AD271" s="108"/>
      <c r="AE271" s="770" t="s">
        <v>1165</v>
      </c>
      <c r="AF271" s="771" t="s">
        <v>1450</v>
      </c>
      <c r="AG271" s="108"/>
      <c r="AH271" s="454" t="s">
        <v>440</v>
      </c>
      <c r="AI271" s="455">
        <v>9675</v>
      </c>
      <c r="AJ271" s="724">
        <v>7.1176173649671881E-2</v>
      </c>
      <c r="AK271" s="725">
        <v>18</v>
      </c>
      <c r="AL271" s="726">
        <v>39423</v>
      </c>
      <c r="AM271" s="725">
        <v>16</v>
      </c>
      <c r="AN271" s="727">
        <v>0.47100000000000003</v>
      </c>
      <c r="AO271" s="725">
        <v>12</v>
      </c>
      <c r="AP271" s="727">
        <v>6.8000000000000005E-2</v>
      </c>
      <c r="AQ271" s="725">
        <v>14</v>
      </c>
      <c r="AR271" s="728">
        <v>0.63600000000000001</v>
      </c>
      <c r="AS271" s="729">
        <v>7</v>
      </c>
      <c r="AT271" s="728">
        <v>0.01</v>
      </c>
      <c r="AU271" s="730">
        <v>10</v>
      </c>
      <c r="AV271" s="731">
        <v>0.23699999999999999</v>
      </c>
      <c r="AW271" s="730">
        <v>7</v>
      </c>
      <c r="AX271" s="728">
        <v>0.20899999999999999</v>
      </c>
      <c r="AY271" s="730">
        <v>7</v>
      </c>
      <c r="AZ271" s="728">
        <v>0.114</v>
      </c>
      <c r="BA271" s="730">
        <v>7</v>
      </c>
      <c r="BB271" s="733">
        <v>8.5000000000000006E-2</v>
      </c>
      <c r="BC271" s="730">
        <v>3</v>
      </c>
      <c r="BD271" s="6"/>
    </row>
    <row r="272" spans="7:56" s="704" customFormat="1" ht="15">
      <c r="G272" s="1546"/>
      <c r="W272" s="6"/>
      <c r="X272" s="87"/>
      <c r="Y272" s="87"/>
      <c r="Z272" s="739"/>
      <c r="AA272" s="739"/>
      <c r="AB272" s="743"/>
      <c r="AC272" s="108"/>
      <c r="AD272" s="108"/>
      <c r="AE272" s="770" t="s">
        <v>1166</v>
      </c>
      <c r="AF272" s="771" t="s">
        <v>652</v>
      </c>
      <c r="AG272" s="108"/>
      <c r="AH272" s="454" t="s">
        <v>440</v>
      </c>
      <c r="AI272" s="455">
        <v>9676</v>
      </c>
      <c r="AJ272" s="724">
        <v>7.1176173649671881E-2</v>
      </c>
      <c r="AK272" s="725">
        <v>18</v>
      </c>
      <c r="AL272" s="726">
        <v>39423</v>
      </c>
      <c r="AM272" s="725">
        <v>16</v>
      </c>
      <c r="AN272" s="727">
        <v>0.47100000000000003</v>
      </c>
      <c r="AO272" s="725">
        <v>12</v>
      </c>
      <c r="AP272" s="727">
        <v>6.8000000000000005E-2</v>
      </c>
      <c r="AQ272" s="725">
        <v>14</v>
      </c>
      <c r="AR272" s="728">
        <v>0.72799999999999998</v>
      </c>
      <c r="AS272" s="729">
        <v>8</v>
      </c>
      <c r="AT272" s="728">
        <v>1.2E-2</v>
      </c>
      <c r="AU272" s="730">
        <v>9</v>
      </c>
      <c r="AV272" s="731">
        <v>0.191</v>
      </c>
      <c r="AW272" s="730">
        <v>8</v>
      </c>
      <c r="AX272" s="728">
        <v>0.22</v>
      </c>
      <c r="AY272" s="730">
        <v>7</v>
      </c>
      <c r="AZ272" s="728">
        <v>0.03</v>
      </c>
      <c r="BA272" s="730">
        <v>9</v>
      </c>
      <c r="BB272" s="733">
        <v>0.06</v>
      </c>
      <c r="BC272" s="730">
        <v>2</v>
      </c>
      <c r="BD272" s="6"/>
    </row>
    <row r="273" spans="7:56" s="704" customFormat="1" ht="15">
      <c r="G273" s="1546"/>
      <c r="W273" s="6"/>
      <c r="X273" s="87"/>
      <c r="Y273" s="87"/>
      <c r="Z273" s="739"/>
      <c r="AA273" s="739"/>
      <c r="AB273" s="743"/>
      <c r="AC273" s="108"/>
      <c r="AD273" s="108"/>
      <c r="AE273" s="770" t="s">
        <v>2546</v>
      </c>
      <c r="AF273" s="771" t="s">
        <v>1450</v>
      </c>
      <c r="AG273" s="108"/>
      <c r="AH273" s="454" t="s">
        <v>441</v>
      </c>
      <c r="AI273" s="455">
        <v>9554</v>
      </c>
      <c r="AJ273" s="724">
        <v>3.8547486033519554E-2</v>
      </c>
      <c r="AK273" s="725">
        <v>24</v>
      </c>
      <c r="AL273" s="726">
        <v>37679</v>
      </c>
      <c r="AM273" s="725">
        <v>16</v>
      </c>
      <c r="AN273" s="727">
        <v>0.56599999999999995</v>
      </c>
      <c r="AO273" s="725">
        <v>16</v>
      </c>
      <c r="AP273" s="727">
        <v>6.8000000000000005E-2</v>
      </c>
      <c r="AQ273" s="725">
        <v>14</v>
      </c>
      <c r="AR273" s="728">
        <v>0.83099999999999996</v>
      </c>
      <c r="AS273" s="729">
        <v>9</v>
      </c>
      <c r="AT273" s="728">
        <v>0</v>
      </c>
      <c r="AU273" s="730">
        <v>10</v>
      </c>
      <c r="AV273" s="731">
        <v>0.13100000000000001</v>
      </c>
      <c r="AW273" s="730">
        <v>9</v>
      </c>
      <c r="AX273" s="728">
        <v>0.17100000000000001</v>
      </c>
      <c r="AY273" s="730">
        <v>8</v>
      </c>
      <c r="AZ273" s="728">
        <v>4.9000000000000002E-2</v>
      </c>
      <c r="BA273" s="730">
        <v>9</v>
      </c>
      <c r="BB273" s="733">
        <v>0.10300000000000001</v>
      </c>
      <c r="BC273" s="730">
        <v>3</v>
      </c>
      <c r="BD273" s="6"/>
    </row>
    <row r="274" spans="7:56" s="704" customFormat="1" ht="15">
      <c r="G274" s="1546"/>
      <c r="W274" s="6"/>
      <c r="X274" s="87"/>
      <c r="Y274" s="87"/>
      <c r="Z274" s="739"/>
      <c r="AA274" s="739"/>
      <c r="AB274" s="743"/>
      <c r="AC274" s="108"/>
      <c r="AD274" s="108"/>
      <c r="AE274" s="770" t="s">
        <v>1167</v>
      </c>
      <c r="AF274" s="771" t="s">
        <v>1450</v>
      </c>
      <c r="AG274" s="108"/>
      <c r="AH274" s="454" t="s">
        <v>441</v>
      </c>
      <c r="AI274" s="455">
        <v>9555</v>
      </c>
      <c r="AJ274" s="724">
        <v>3.8547486033519554E-2</v>
      </c>
      <c r="AK274" s="725">
        <v>24</v>
      </c>
      <c r="AL274" s="726">
        <v>37679</v>
      </c>
      <c r="AM274" s="725">
        <v>16</v>
      </c>
      <c r="AN274" s="727">
        <v>0.56599999999999995</v>
      </c>
      <c r="AO274" s="725">
        <v>16</v>
      </c>
      <c r="AP274" s="727">
        <v>6.8000000000000005E-2</v>
      </c>
      <c r="AQ274" s="725">
        <v>14</v>
      </c>
      <c r="AR274" s="728">
        <v>0.68599999999999994</v>
      </c>
      <c r="AS274" s="729">
        <v>8</v>
      </c>
      <c r="AT274" s="728">
        <v>3.6000000000000004E-2</v>
      </c>
      <c r="AU274" s="730">
        <v>7</v>
      </c>
      <c r="AV274" s="731">
        <v>0.39799999999999996</v>
      </c>
      <c r="AW274" s="730">
        <v>5</v>
      </c>
      <c r="AX274" s="728">
        <v>0.28800000000000003</v>
      </c>
      <c r="AY274" s="730">
        <v>6</v>
      </c>
      <c r="AZ274" s="728">
        <v>8.8000000000000009E-2</v>
      </c>
      <c r="BA274" s="730">
        <v>8</v>
      </c>
      <c r="BB274" s="733">
        <v>5.7999999999999996E-2</v>
      </c>
      <c r="BC274" s="730">
        <v>2</v>
      </c>
      <c r="BD274" s="6"/>
    </row>
    <row r="275" spans="7:56" s="704" customFormat="1" ht="15">
      <c r="G275" s="1546"/>
      <c r="W275" s="6"/>
      <c r="X275" s="87"/>
      <c r="Y275" s="87"/>
      <c r="Z275" s="739"/>
      <c r="AA275" s="739"/>
      <c r="AB275" s="743"/>
      <c r="AC275" s="108"/>
      <c r="AD275" s="108"/>
      <c r="AE275" s="770" t="s">
        <v>2547</v>
      </c>
      <c r="AF275" s="771" t="s">
        <v>653</v>
      </c>
      <c r="AG275" s="108"/>
      <c r="AH275" s="454" t="s">
        <v>441</v>
      </c>
      <c r="AI275" s="455">
        <v>9556</v>
      </c>
      <c r="AJ275" s="724">
        <v>3.8547486033519554E-2</v>
      </c>
      <c r="AK275" s="725">
        <v>24</v>
      </c>
      <c r="AL275" s="726">
        <v>37679</v>
      </c>
      <c r="AM275" s="725">
        <v>16</v>
      </c>
      <c r="AN275" s="727">
        <v>0.56599999999999995</v>
      </c>
      <c r="AO275" s="725">
        <v>16</v>
      </c>
      <c r="AP275" s="727">
        <v>6.8000000000000005E-2</v>
      </c>
      <c r="AQ275" s="725">
        <v>14</v>
      </c>
      <c r="AR275" s="728">
        <v>0.68799999999999994</v>
      </c>
      <c r="AS275" s="729">
        <v>8</v>
      </c>
      <c r="AT275" s="728">
        <v>3.4000000000000002E-2</v>
      </c>
      <c r="AU275" s="730">
        <v>7</v>
      </c>
      <c r="AV275" s="731">
        <v>0.24</v>
      </c>
      <c r="AW275" s="730">
        <v>7</v>
      </c>
      <c r="AX275" s="728">
        <v>0.24199999999999999</v>
      </c>
      <c r="AY275" s="730">
        <v>7</v>
      </c>
      <c r="AZ275" s="728">
        <v>6.9000000000000006E-2</v>
      </c>
      <c r="BA275" s="730">
        <v>8</v>
      </c>
      <c r="BB275" s="733">
        <v>2.8999999999999998E-2</v>
      </c>
      <c r="BC275" s="730">
        <v>1</v>
      </c>
      <c r="BD275" s="6"/>
    </row>
    <row r="276" spans="7:56" s="704" customFormat="1" ht="15">
      <c r="G276" s="1546"/>
      <c r="W276" s="6"/>
      <c r="X276" s="87"/>
      <c r="Y276" s="87"/>
      <c r="Z276" s="739"/>
      <c r="AA276" s="739"/>
      <c r="AB276" s="743"/>
      <c r="AC276" s="108"/>
      <c r="AD276" s="108"/>
      <c r="AE276" s="770" t="s">
        <v>1168</v>
      </c>
      <c r="AF276" s="771" t="s">
        <v>653</v>
      </c>
      <c r="AG276" s="108"/>
      <c r="AH276" s="454" t="s">
        <v>441</v>
      </c>
      <c r="AI276" s="455">
        <v>9557</v>
      </c>
      <c r="AJ276" s="724">
        <v>3.8547486033519554E-2</v>
      </c>
      <c r="AK276" s="725">
        <v>24</v>
      </c>
      <c r="AL276" s="726">
        <v>37679</v>
      </c>
      <c r="AM276" s="725">
        <v>16</v>
      </c>
      <c r="AN276" s="727">
        <v>0.56599999999999995</v>
      </c>
      <c r="AO276" s="725">
        <v>16</v>
      </c>
      <c r="AP276" s="727">
        <v>6.8000000000000005E-2</v>
      </c>
      <c r="AQ276" s="725">
        <v>14</v>
      </c>
      <c r="AR276" s="728">
        <v>0.83599999999999997</v>
      </c>
      <c r="AS276" s="729">
        <v>9</v>
      </c>
      <c r="AT276" s="728">
        <v>0</v>
      </c>
      <c r="AU276" s="730">
        <v>10</v>
      </c>
      <c r="AV276" s="731">
        <v>0.27600000000000002</v>
      </c>
      <c r="AW276" s="730">
        <v>7</v>
      </c>
      <c r="AX276" s="728">
        <v>0.35100000000000003</v>
      </c>
      <c r="AY276" s="730">
        <v>5</v>
      </c>
      <c r="AZ276" s="728">
        <v>0.11199999999999999</v>
      </c>
      <c r="BA276" s="730">
        <v>7</v>
      </c>
      <c r="BB276" s="733">
        <v>2.7000000000000003E-2</v>
      </c>
      <c r="BC276" s="730">
        <v>1</v>
      </c>
      <c r="BD276" s="6"/>
    </row>
    <row r="277" spans="7:56" s="704" customFormat="1" ht="15">
      <c r="G277" s="1546"/>
      <c r="W277" s="6"/>
      <c r="X277" s="87"/>
      <c r="Y277" s="87"/>
      <c r="Z277" s="739"/>
      <c r="AA277" s="739"/>
      <c r="AB277" s="743"/>
      <c r="AC277" s="108"/>
      <c r="AD277" s="108"/>
      <c r="AE277" s="770" t="s">
        <v>1169</v>
      </c>
      <c r="AF277" s="771" t="s">
        <v>653</v>
      </c>
      <c r="AG277" s="108"/>
      <c r="AH277" s="454" t="s">
        <v>441</v>
      </c>
      <c r="AI277" s="455">
        <v>9558</v>
      </c>
      <c r="AJ277" s="724">
        <v>3.8547486033519554E-2</v>
      </c>
      <c r="AK277" s="725">
        <v>24</v>
      </c>
      <c r="AL277" s="726">
        <v>37679</v>
      </c>
      <c r="AM277" s="725">
        <v>16</v>
      </c>
      <c r="AN277" s="727">
        <v>0.56599999999999995</v>
      </c>
      <c r="AO277" s="725">
        <v>16</v>
      </c>
      <c r="AP277" s="727">
        <v>6.8000000000000005E-2</v>
      </c>
      <c r="AQ277" s="725">
        <v>14</v>
      </c>
      <c r="AR277" s="728">
        <v>0.83200000000000007</v>
      </c>
      <c r="AS277" s="729">
        <v>9</v>
      </c>
      <c r="AT277" s="728">
        <v>1.7000000000000001E-2</v>
      </c>
      <c r="AU277" s="730">
        <v>9</v>
      </c>
      <c r="AV277" s="731">
        <v>0.26200000000000001</v>
      </c>
      <c r="AW277" s="730">
        <v>7</v>
      </c>
      <c r="AX277" s="728">
        <v>0.222</v>
      </c>
      <c r="AY277" s="730">
        <v>7</v>
      </c>
      <c r="AZ277" s="728">
        <v>7.2000000000000008E-2</v>
      </c>
      <c r="BA277" s="730">
        <v>8</v>
      </c>
      <c r="BB277" s="733">
        <v>6.0999999999999999E-2</v>
      </c>
      <c r="BC277" s="730">
        <v>2</v>
      </c>
      <c r="BD277" s="6"/>
    </row>
    <row r="278" spans="7:56" s="704" customFormat="1" ht="15">
      <c r="G278" s="1546"/>
      <c r="W278" s="6"/>
      <c r="X278" s="87"/>
      <c r="Y278" s="87"/>
      <c r="Z278" s="739"/>
      <c r="AA278" s="739"/>
      <c r="AB278" s="743"/>
      <c r="AC278" s="108"/>
      <c r="AD278" s="108"/>
      <c r="AE278" s="770" t="s">
        <v>2548</v>
      </c>
      <c r="AF278" s="771" t="s">
        <v>1450</v>
      </c>
      <c r="AG278" s="108"/>
      <c r="AH278" s="454" t="s">
        <v>442</v>
      </c>
      <c r="AI278" s="455">
        <v>9561.01</v>
      </c>
      <c r="AJ278" s="724">
        <v>3.6284863254806392E-2</v>
      </c>
      <c r="AK278" s="725">
        <v>24</v>
      </c>
      <c r="AL278" s="726">
        <v>38123</v>
      </c>
      <c r="AM278" s="725">
        <v>16</v>
      </c>
      <c r="AN278" s="727">
        <v>0.49700000000000005</v>
      </c>
      <c r="AO278" s="725">
        <v>12</v>
      </c>
      <c r="AP278" s="727">
        <v>0.13600000000000001</v>
      </c>
      <c r="AQ278" s="725">
        <v>8</v>
      </c>
      <c r="AR278" s="728">
        <v>0.85099999999999998</v>
      </c>
      <c r="AS278" s="729">
        <v>9</v>
      </c>
      <c r="AT278" s="728">
        <v>0</v>
      </c>
      <c r="AU278" s="730">
        <v>10</v>
      </c>
      <c r="AV278" s="731">
        <v>0.13100000000000001</v>
      </c>
      <c r="AW278" s="730">
        <v>9</v>
      </c>
      <c r="AX278" s="728">
        <v>0.128</v>
      </c>
      <c r="AY278" s="730">
        <v>8</v>
      </c>
      <c r="AZ278" s="728">
        <v>8.6999999999999994E-2</v>
      </c>
      <c r="BA278" s="730">
        <v>8</v>
      </c>
      <c r="BB278" s="733">
        <v>4.0999999999999995E-2</v>
      </c>
      <c r="BC278" s="730">
        <v>2</v>
      </c>
      <c r="BD278" s="6"/>
    </row>
    <row r="279" spans="7:56" s="704" customFormat="1" ht="15">
      <c r="G279" s="1546"/>
      <c r="W279" s="6"/>
      <c r="X279" s="87"/>
      <c r="Y279" s="87"/>
      <c r="Z279" s="739"/>
      <c r="AA279" s="739"/>
      <c r="AB279" s="743"/>
      <c r="AC279" s="108"/>
      <c r="AD279" s="108"/>
      <c r="AE279" s="770" t="s">
        <v>1170</v>
      </c>
      <c r="AF279" s="771" t="s">
        <v>1450</v>
      </c>
      <c r="AG279" s="108"/>
      <c r="AH279" s="454" t="s">
        <v>442</v>
      </c>
      <c r="AI279" s="455">
        <v>9561.02</v>
      </c>
      <c r="AJ279" s="724">
        <v>3.6284863254806392E-2</v>
      </c>
      <c r="AK279" s="725">
        <v>24</v>
      </c>
      <c r="AL279" s="726">
        <v>38123</v>
      </c>
      <c r="AM279" s="725">
        <v>16</v>
      </c>
      <c r="AN279" s="727">
        <v>0.49700000000000005</v>
      </c>
      <c r="AO279" s="725">
        <v>12</v>
      </c>
      <c r="AP279" s="727">
        <v>0.13600000000000001</v>
      </c>
      <c r="AQ279" s="725">
        <v>8</v>
      </c>
      <c r="AR279" s="728">
        <v>0.72199999999999998</v>
      </c>
      <c r="AS279" s="729">
        <v>8</v>
      </c>
      <c r="AT279" s="728">
        <v>1.4999999999999999E-2</v>
      </c>
      <c r="AU279" s="730">
        <v>9</v>
      </c>
      <c r="AV279" s="731">
        <v>0.18600000000000003</v>
      </c>
      <c r="AW279" s="730">
        <v>8</v>
      </c>
      <c r="AX279" s="728">
        <v>0.19800000000000001</v>
      </c>
      <c r="AY279" s="730">
        <v>7</v>
      </c>
      <c r="AZ279" s="728">
        <v>8.900000000000001E-2</v>
      </c>
      <c r="BA279" s="730">
        <v>7</v>
      </c>
      <c r="BB279" s="733">
        <v>0.1</v>
      </c>
      <c r="BC279" s="730">
        <v>3</v>
      </c>
      <c r="BD279" s="6"/>
    </row>
    <row r="280" spans="7:56" s="704" customFormat="1" ht="15">
      <c r="G280" s="1546"/>
      <c r="W280" s="6"/>
      <c r="X280" s="87"/>
      <c r="Y280" s="87"/>
      <c r="Z280" s="739"/>
      <c r="AA280" s="739"/>
      <c r="AB280" s="743"/>
      <c r="AC280" s="108"/>
      <c r="AD280" s="108"/>
      <c r="AE280" s="770" t="s">
        <v>1171</v>
      </c>
      <c r="AF280" s="771" t="s">
        <v>653</v>
      </c>
      <c r="AG280" s="108"/>
      <c r="AH280" s="454" t="s">
        <v>442</v>
      </c>
      <c r="AI280" s="455">
        <v>9562</v>
      </c>
      <c r="AJ280" s="724">
        <v>3.6284863254806392E-2</v>
      </c>
      <c r="AK280" s="725">
        <v>24</v>
      </c>
      <c r="AL280" s="726">
        <v>38123</v>
      </c>
      <c r="AM280" s="725">
        <v>16</v>
      </c>
      <c r="AN280" s="727">
        <v>0.49700000000000005</v>
      </c>
      <c r="AO280" s="725">
        <v>12</v>
      </c>
      <c r="AP280" s="727">
        <v>0.13600000000000001</v>
      </c>
      <c r="AQ280" s="725">
        <v>8</v>
      </c>
      <c r="AR280" s="728">
        <v>0.69099999999999995</v>
      </c>
      <c r="AS280" s="729">
        <v>8</v>
      </c>
      <c r="AT280" s="728">
        <v>8.9999999999999993E-3</v>
      </c>
      <c r="AU280" s="730">
        <v>10</v>
      </c>
      <c r="AV280" s="731">
        <v>0.26400000000000001</v>
      </c>
      <c r="AW280" s="730">
        <v>7</v>
      </c>
      <c r="AX280" s="728">
        <v>0.24100000000000002</v>
      </c>
      <c r="AY280" s="730">
        <v>7</v>
      </c>
      <c r="AZ280" s="728">
        <v>0.20100000000000001</v>
      </c>
      <c r="BA280" s="730">
        <v>4</v>
      </c>
      <c r="BB280" s="733">
        <v>4.0999999999999995E-2</v>
      </c>
      <c r="BC280" s="730">
        <v>2</v>
      </c>
      <c r="BD280" s="6"/>
    </row>
    <row r="281" spans="7:56" s="704" customFormat="1" ht="15">
      <c r="G281" s="1546"/>
      <c r="W281" s="6"/>
      <c r="X281" s="87"/>
      <c r="Y281" s="87"/>
      <c r="Z281" s="739"/>
      <c r="AA281" s="739"/>
      <c r="AB281" s="743"/>
      <c r="AC281" s="108"/>
      <c r="AD281" s="108"/>
      <c r="AE281" s="770" t="s">
        <v>1172</v>
      </c>
      <c r="AF281" s="771" t="s">
        <v>1450</v>
      </c>
      <c r="AG281" s="108"/>
      <c r="AH281" s="454" t="s">
        <v>442</v>
      </c>
      <c r="AI281" s="455">
        <v>9564</v>
      </c>
      <c r="AJ281" s="724">
        <v>3.6284863254806392E-2</v>
      </c>
      <c r="AK281" s="725">
        <v>24</v>
      </c>
      <c r="AL281" s="726">
        <v>38123</v>
      </c>
      <c r="AM281" s="725">
        <v>16</v>
      </c>
      <c r="AN281" s="727">
        <v>0.49700000000000005</v>
      </c>
      <c r="AO281" s="725">
        <v>12</v>
      </c>
      <c r="AP281" s="727">
        <v>0.13600000000000001</v>
      </c>
      <c r="AQ281" s="725">
        <v>8</v>
      </c>
      <c r="AR281" s="728">
        <v>0.752</v>
      </c>
      <c r="AS281" s="729">
        <v>8</v>
      </c>
      <c r="AT281" s="728">
        <v>1.2E-2</v>
      </c>
      <c r="AU281" s="730">
        <v>9</v>
      </c>
      <c r="AV281" s="731">
        <v>0.29299999999999998</v>
      </c>
      <c r="AW281" s="730">
        <v>7</v>
      </c>
      <c r="AX281" s="728">
        <v>0.221</v>
      </c>
      <c r="AY281" s="730">
        <v>7</v>
      </c>
      <c r="AZ281" s="728">
        <v>5.5E-2</v>
      </c>
      <c r="BA281" s="730">
        <v>9</v>
      </c>
      <c r="BB281" s="733">
        <v>1.6E-2</v>
      </c>
      <c r="BC281" s="730">
        <v>1</v>
      </c>
      <c r="BD281" s="6"/>
    </row>
    <row r="282" spans="7:56" s="704" customFormat="1" ht="15">
      <c r="G282" s="1546"/>
      <c r="W282" s="6"/>
      <c r="X282" s="87"/>
      <c r="Y282" s="87"/>
      <c r="Z282" s="739"/>
      <c r="AA282" s="739"/>
      <c r="AB282" s="743"/>
      <c r="AC282" s="108"/>
      <c r="AD282" s="108"/>
      <c r="AE282" s="770" t="s">
        <v>1173</v>
      </c>
      <c r="AF282" s="771" t="s">
        <v>653</v>
      </c>
      <c r="AG282" s="108"/>
      <c r="AH282" s="454" t="s">
        <v>442</v>
      </c>
      <c r="AI282" s="455">
        <v>9565</v>
      </c>
      <c r="AJ282" s="724">
        <v>3.6284863254806392E-2</v>
      </c>
      <c r="AK282" s="725">
        <v>24</v>
      </c>
      <c r="AL282" s="726">
        <v>38123</v>
      </c>
      <c r="AM282" s="725">
        <v>16</v>
      </c>
      <c r="AN282" s="727">
        <v>0.49700000000000005</v>
      </c>
      <c r="AO282" s="725">
        <v>12</v>
      </c>
      <c r="AP282" s="727">
        <v>0.13600000000000001</v>
      </c>
      <c r="AQ282" s="725">
        <v>8</v>
      </c>
      <c r="AR282" s="728">
        <v>0.77300000000000002</v>
      </c>
      <c r="AS282" s="729">
        <v>9</v>
      </c>
      <c r="AT282" s="728">
        <v>3.7999999999999999E-2</v>
      </c>
      <c r="AU282" s="730">
        <v>7</v>
      </c>
      <c r="AV282" s="731">
        <v>0.40100000000000002</v>
      </c>
      <c r="AW282" s="730">
        <v>5</v>
      </c>
      <c r="AX282" s="728">
        <v>0.32</v>
      </c>
      <c r="AY282" s="730">
        <v>5</v>
      </c>
      <c r="AZ282" s="728">
        <v>0.184</v>
      </c>
      <c r="BA282" s="730">
        <v>4</v>
      </c>
      <c r="BB282" s="733">
        <v>0.03</v>
      </c>
      <c r="BC282" s="730">
        <v>1</v>
      </c>
      <c r="BD282" s="6"/>
    </row>
    <row r="283" spans="7:56" s="704" customFormat="1" ht="15">
      <c r="G283" s="1546"/>
      <c r="W283" s="6"/>
      <c r="X283" s="87"/>
      <c r="Y283" s="87"/>
      <c r="Z283" s="739"/>
      <c r="AA283" s="739"/>
      <c r="AB283" s="743"/>
      <c r="AC283" s="108"/>
      <c r="AD283" s="108"/>
      <c r="AE283" s="770" t="s">
        <v>2549</v>
      </c>
      <c r="AF283" s="771" t="s">
        <v>1450</v>
      </c>
      <c r="AG283" s="108"/>
      <c r="AH283" s="454" t="s">
        <v>442</v>
      </c>
      <c r="AI283" s="455">
        <v>9566</v>
      </c>
      <c r="AJ283" s="724">
        <v>3.6284863254806392E-2</v>
      </c>
      <c r="AK283" s="725">
        <v>24</v>
      </c>
      <c r="AL283" s="726">
        <v>38123</v>
      </c>
      <c r="AM283" s="725">
        <v>16</v>
      </c>
      <c r="AN283" s="727">
        <v>0.49700000000000005</v>
      </c>
      <c r="AO283" s="725">
        <v>12</v>
      </c>
      <c r="AP283" s="727">
        <v>0.13600000000000001</v>
      </c>
      <c r="AQ283" s="725">
        <v>8</v>
      </c>
      <c r="AR283" s="728">
        <v>0.746</v>
      </c>
      <c r="AS283" s="729">
        <v>8</v>
      </c>
      <c r="AT283" s="728">
        <v>3.2000000000000001E-2</v>
      </c>
      <c r="AU283" s="730">
        <v>8</v>
      </c>
      <c r="AV283" s="731">
        <v>0.184</v>
      </c>
      <c r="AW283" s="730">
        <v>8</v>
      </c>
      <c r="AX283" s="728">
        <v>0.21</v>
      </c>
      <c r="AY283" s="730">
        <v>7</v>
      </c>
      <c r="AZ283" s="728">
        <v>6.9000000000000006E-2</v>
      </c>
      <c r="BA283" s="730">
        <v>8</v>
      </c>
      <c r="BB283" s="733">
        <v>8.5000000000000006E-2</v>
      </c>
      <c r="BC283" s="730">
        <v>3</v>
      </c>
      <c r="BD283" s="6"/>
    </row>
    <row r="284" spans="7:56" s="704" customFormat="1" ht="15">
      <c r="G284" s="1546"/>
      <c r="W284" s="6"/>
      <c r="X284" s="87"/>
      <c r="Y284" s="87"/>
      <c r="Z284" s="739"/>
      <c r="AA284" s="739"/>
      <c r="AB284" s="743"/>
      <c r="AC284" s="108"/>
      <c r="AD284" s="108"/>
      <c r="AE284" s="770" t="s">
        <v>2550</v>
      </c>
      <c r="AF284" s="771" t="s">
        <v>1450</v>
      </c>
      <c r="AG284" s="108"/>
      <c r="AH284" s="454" t="s">
        <v>442</v>
      </c>
      <c r="AI284" s="455">
        <v>9567</v>
      </c>
      <c r="AJ284" s="724">
        <v>3.6284863254806392E-2</v>
      </c>
      <c r="AK284" s="725">
        <v>24</v>
      </c>
      <c r="AL284" s="726">
        <v>38123</v>
      </c>
      <c r="AM284" s="725">
        <v>16</v>
      </c>
      <c r="AN284" s="727">
        <v>0.49700000000000005</v>
      </c>
      <c r="AO284" s="725">
        <v>12</v>
      </c>
      <c r="AP284" s="727">
        <v>0.13600000000000001</v>
      </c>
      <c r="AQ284" s="725">
        <v>8</v>
      </c>
      <c r="AR284" s="728">
        <v>0.66500000000000004</v>
      </c>
      <c r="AS284" s="729">
        <v>7</v>
      </c>
      <c r="AT284" s="728">
        <v>3.7000000000000005E-2</v>
      </c>
      <c r="AU284" s="730">
        <v>7</v>
      </c>
      <c r="AV284" s="731">
        <v>0.27699999999999997</v>
      </c>
      <c r="AW284" s="730">
        <v>7</v>
      </c>
      <c r="AX284" s="728">
        <v>0.29899999999999999</v>
      </c>
      <c r="AY284" s="730">
        <v>6</v>
      </c>
      <c r="AZ284" s="728">
        <v>0.193</v>
      </c>
      <c r="BA284" s="730">
        <v>4</v>
      </c>
      <c r="BB284" s="733">
        <v>5.2999999999999999E-2</v>
      </c>
      <c r="BC284" s="730">
        <v>2</v>
      </c>
      <c r="BD284" s="6"/>
    </row>
    <row r="285" spans="7:56" s="704" customFormat="1" ht="15">
      <c r="G285" s="1546"/>
      <c r="W285" s="6"/>
      <c r="X285" s="87"/>
      <c r="Y285" s="87"/>
      <c r="Z285" s="739"/>
      <c r="AA285" s="739"/>
      <c r="AB285" s="743"/>
      <c r="AC285" s="108"/>
      <c r="AD285" s="108"/>
      <c r="AE285" s="770" t="s">
        <v>1174</v>
      </c>
      <c r="AF285" s="771" t="s">
        <v>653</v>
      </c>
      <c r="AG285" s="108"/>
      <c r="AH285" s="454" t="s">
        <v>442</v>
      </c>
      <c r="AI285" s="455">
        <v>9568</v>
      </c>
      <c r="AJ285" s="724">
        <v>3.6284863254806392E-2</v>
      </c>
      <c r="AK285" s="725">
        <v>24</v>
      </c>
      <c r="AL285" s="726">
        <v>38123</v>
      </c>
      <c r="AM285" s="725">
        <v>16</v>
      </c>
      <c r="AN285" s="727">
        <v>0.49700000000000005</v>
      </c>
      <c r="AO285" s="725">
        <v>12</v>
      </c>
      <c r="AP285" s="727">
        <v>0.13600000000000001</v>
      </c>
      <c r="AQ285" s="725">
        <v>8</v>
      </c>
      <c r="AR285" s="728">
        <v>0.75700000000000001</v>
      </c>
      <c r="AS285" s="729">
        <v>8</v>
      </c>
      <c r="AT285" s="728">
        <v>0</v>
      </c>
      <c r="AU285" s="730">
        <v>10</v>
      </c>
      <c r="AV285" s="731">
        <v>0.249</v>
      </c>
      <c r="AW285" s="730">
        <v>7</v>
      </c>
      <c r="AX285" s="728">
        <v>0.318</v>
      </c>
      <c r="AY285" s="730">
        <v>5</v>
      </c>
      <c r="AZ285" s="728">
        <v>0.24199999999999999</v>
      </c>
      <c r="BA285" s="730">
        <v>2</v>
      </c>
      <c r="BB285" s="733">
        <v>7.0000000000000007E-2</v>
      </c>
      <c r="BC285" s="730">
        <v>2</v>
      </c>
      <c r="BD285" s="6"/>
    </row>
    <row r="286" spans="7:56" s="704" customFormat="1" ht="15">
      <c r="G286" s="1546"/>
      <c r="W286" s="6"/>
      <c r="X286" s="87"/>
      <c r="Y286" s="87"/>
      <c r="Z286" s="739"/>
      <c r="AA286" s="739"/>
      <c r="AB286" s="743"/>
      <c r="AC286" s="108"/>
      <c r="AD286" s="108"/>
      <c r="AE286" s="770" t="s">
        <v>1175</v>
      </c>
      <c r="AF286" s="771" t="s">
        <v>1450</v>
      </c>
      <c r="AG286" s="108"/>
      <c r="AH286" s="454" t="s">
        <v>442</v>
      </c>
      <c r="AI286" s="455">
        <v>9569</v>
      </c>
      <c r="AJ286" s="724">
        <v>3.6284863254806392E-2</v>
      </c>
      <c r="AK286" s="725">
        <v>24</v>
      </c>
      <c r="AL286" s="726">
        <v>38123</v>
      </c>
      <c r="AM286" s="725">
        <v>16</v>
      </c>
      <c r="AN286" s="727">
        <v>0.49700000000000005</v>
      </c>
      <c r="AO286" s="725">
        <v>12</v>
      </c>
      <c r="AP286" s="727">
        <v>0.13600000000000001</v>
      </c>
      <c r="AQ286" s="725">
        <v>8</v>
      </c>
      <c r="AR286" s="728">
        <v>0.498</v>
      </c>
      <c r="AS286" s="729">
        <v>6</v>
      </c>
      <c r="AT286" s="728">
        <v>0</v>
      </c>
      <c r="AU286" s="730">
        <v>10</v>
      </c>
      <c r="AV286" s="731">
        <v>0.28499999999999998</v>
      </c>
      <c r="AW286" s="730">
        <v>7</v>
      </c>
      <c r="AX286" s="728">
        <v>0.373</v>
      </c>
      <c r="AY286" s="730">
        <v>4</v>
      </c>
      <c r="AZ286" s="728">
        <v>0.11900000000000001</v>
      </c>
      <c r="BA286" s="730">
        <v>6</v>
      </c>
      <c r="BB286" s="733">
        <v>8.5999999999999993E-2</v>
      </c>
      <c r="BC286" s="730">
        <v>3</v>
      </c>
      <c r="BD286" s="6"/>
    </row>
    <row r="287" spans="7:56" s="704" customFormat="1" ht="15">
      <c r="G287" s="1546"/>
      <c r="W287" s="6"/>
      <c r="X287" s="87"/>
      <c r="Y287" s="87"/>
      <c r="Z287" s="739"/>
      <c r="AA287" s="739"/>
      <c r="AB287" s="743"/>
      <c r="AC287" s="108"/>
      <c r="AD287" s="108"/>
      <c r="AE287" s="770" t="s">
        <v>1176</v>
      </c>
      <c r="AF287" s="771" t="s">
        <v>653</v>
      </c>
      <c r="AG287" s="108"/>
      <c r="AH287" s="454" t="s">
        <v>443</v>
      </c>
      <c r="AI287" s="455">
        <v>201</v>
      </c>
      <c r="AJ287" s="724">
        <v>7.4917434382061526E-2</v>
      </c>
      <c r="AK287" s="725">
        <v>18</v>
      </c>
      <c r="AL287" s="726">
        <v>48605</v>
      </c>
      <c r="AM287" s="725">
        <v>12</v>
      </c>
      <c r="AN287" s="727">
        <v>0.45299999999999996</v>
      </c>
      <c r="AO287" s="725">
        <v>10</v>
      </c>
      <c r="AP287" s="727">
        <v>5.5999999999999994E-2</v>
      </c>
      <c r="AQ287" s="725">
        <v>16</v>
      </c>
      <c r="AR287" s="728">
        <v>0.16899999999999998</v>
      </c>
      <c r="AS287" s="729">
        <v>2</v>
      </c>
      <c r="AT287" s="728">
        <v>7.2000000000000008E-2</v>
      </c>
      <c r="AU287" s="730">
        <v>4</v>
      </c>
      <c r="AV287" s="731">
        <v>0.58599999999999997</v>
      </c>
      <c r="AW287" s="730">
        <v>3</v>
      </c>
      <c r="AX287" s="728">
        <v>0.60899999999999999</v>
      </c>
      <c r="AY287" s="730">
        <v>1</v>
      </c>
      <c r="AZ287" s="728">
        <v>0.1</v>
      </c>
      <c r="BA287" s="730">
        <v>7</v>
      </c>
      <c r="BB287" s="733">
        <v>5.2999999999999999E-2</v>
      </c>
      <c r="BC287" s="730">
        <v>2</v>
      </c>
      <c r="BD287" s="6"/>
    </row>
    <row r="288" spans="7:56" s="704" customFormat="1" ht="15">
      <c r="G288" s="1546"/>
      <c r="W288" s="6"/>
      <c r="X288" s="87"/>
      <c r="Y288" s="87"/>
      <c r="Z288" s="739"/>
      <c r="AA288" s="739"/>
      <c r="AB288" s="743"/>
      <c r="AC288" s="108"/>
      <c r="AD288" s="108"/>
      <c r="AE288" s="770" t="s">
        <v>1177</v>
      </c>
      <c r="AF288" s="771" t="s">
        <v>1450</v>
      </c>
      <c r="AG288" s="108"/>
      <c r="AH288" s="454" t="s">
        <v>443</v>
      </c>
      <c r="AI288" s="455">
        <v>202</v>
      </c>
      <c r="AJ288" s="724">
        <v>7.4917434382061526E-2</v>
      </c>
      <c r="AK288" s="725">
        <v>18</v>
      </c>
      <c r="AL288" s="726">
        <v>48605</v>
      </c>
      <c r="AM288" s="725">
        <v>12</v>
      </c>
      <c r="AN288" s="727">
        <v>0.45299999999999996</v>
      </c>
      <c r="AO288" s="725">
        <v>10</v>
      </c>
      <c r="AP288" s="727">
        <v>5.5999999999999994E-2</v>
      </c>
      <c r="AQ288" s="725">
        <v>16</v>
      </c>
      <c r="AR288" s="728">
        <v>0.39299999999999996</v>
      </c>
      <c r="AS288" s="729">
        <v>5</v>
      </c>
      <c r="AT288" s="728">
        <v>2.4E-2</v>
      </c>
      <c r="AU288" s="730">
        <v>8</v>
      </c>
      <c r="AV288" s="731">
        <v>0.44900000000000001</v>
      </c>
      <c r="AW288" s="730">
        <v>4</v>
      </c>
      <c r="AX288" s="728">
        <v>0.27699999999999997</v>
      </c>
      <c r="AY288" s="730">
        <v>6</v>
      </c>
      <c r="AZ288" s="728">
        <v>7.2999999999999995E-2</v>
      </c>
      <c r="BA288" s="730">
        <v>8</v>
      </c>
      <c r="BB288" s="733">
        <v>0.17</v>
      </c>
      <c r="BC288" s="730">
        <v>5</v>
      </c>
      <c r="BD288" s="6"/>
    </row>
    <row r="289" spans="7:56" s="704" customFormat="1" ht="15">
      <c r="G289" s="1546"/>
      <c r="W289" s="6"/>
      <c r="X289" s="87"/>
      <c r="Y289" s="87"/>
      <c r="Z289" s="739"/>
      <c r="AA289" s="739"/>
      <c r="AB289" s="743"/>
      <c r="AC289" s="108"/>
      <c r="AD289" s="108"/>
      <c r="AE289" s="770" t="s">
        <v>2551</v>
      </c>
      <c r="AF289" s="771" t="s">
        <v>1450</v>
      </c>
      <c r="AG289" s="108"/>
      <c r="AH289" s="454" t="s">
        <v>443</v>
      </c>
      <c r="AI289" s="455">
        <v>203</v>
      </c>
      <c r="AJ289" s="724">
        <v>7.4917434382061526E-2</v>
      </c>
      <c r="AK289" s="725">
        <v>18</v>
      </c>
      <c r="AL289" s="726">
        <v>48605</v>
      </c>
      <c r="AM289" s="725">
        <v>12</v>
      </c>
      <c r="AN289" s="727">
        <v>0.45299999999999996</v>
      </c>
      <c r="AO289" s="725">
        <v>10</v>
      </c>
      <c r="AP289" s="727">
        <v>5.5999999999999994E-2</v>
      </c>
      <c r="AQ289" s="725">
        <v>16</v>
      </c>
      <c r="AR289" s="728">
        <v>0.75</v>
      </c>
      <c r="AS289" s="729">
        <v>8</v>
      </c>
      <c r="AT289" s="728">
        <v>1.9E-2</v>
      </c>
      <c r="AU289" s="730">
        <v>9</v>
      </c>
      <c r="AV289" s="731">
        <v>0.13200000000000001</v>
      </c>
      <c r="AW289" s="730">
        <v>9</v>
      </c>
      <c r="AX289" s="728">
        <v>8.5999999999999993E-2</v>
      </c>
      <c r="AY289" s="730">
        <v>9</v>
      </c>
      <c r="AZ289" s="728">
        <v>5.7999999999999996E-2</v>
      </c>
      <c r="BA289" s="730">
        <v>9</v>
      </c>
      <c r="BB289" s="733">
        <v>0.27500000000000002</v>
      </c>
      <c r="BC289" s="730">
        <v>8</v>
      </c>
      <c r="BD289" s="6"/>
    </row>
    <row r="290" spans="7:56" s="704" customFormat="1" ht="15">
      <c r="G290" s="1546"/>
      <c r="W290" s="6"/>
      <c r="X290" s="87"/>
      <c r="Y290" s="87"/>
      <c r="Z290" s="739"/>
      <c r="AA290" s="739"/>
      <c r="AB290" s="743"/>
      <c r="AC290" s="108"/>
      <c r="AD290" s="108"/>
      <c r="AE290" s="770" t="s">
        <v>1178</v>
      </c>
      <c r="AF290" s="771" t="s">
        <v>653</v>
      </c>
      <c r="AG290" s="108"/>
      <c r="AH290" s="454" t="s">
        <v>443</v>
      </c>
      <c r="AI290" s="455">
        <v>204</v>
      </c>
      <c r="AJ290" s="724">
        <v>7.4917434382061526E-2</v>
      </c>
      <c r="AK290" s="725">
        <v>18</v>
      </c>
      <c r="AL290" s="726">
        <v>48605</v>
      </c>
      <c r="AM290" s="725">
        <v>12</v>
      </c>
      <c r="AN290" s="727">
        <v>0.45299999999999996</v>
      </c>
      <c r="AO290" s="725">
        <v>10</v>
      </c>
      <c r="AP290" s="727">
        <v>5.5999999999999994E-2</v>
      </c>
      <c r="AQ290" s="725">
        <v>16</v>
      </c>
      <c r="AR290" s="728">
        <v>0.83</v>
      </c>
      <c r="AS290" s="729">
        <v>9</v>
      </c>
      <c r="AT290" s="728">
        <v>0</v>
      </c>
      <c r="AU290" s="730">
        <v>10</v>
      </c>
      <c r="AV290" s="731">
        <v>0.156</v>
      </c>
      <c r="AW290" s="730">
        <v>8</v>
      </c>
      <c r="AX290" s="728">
        <v>6.7000000000000004E-2</v>
      </c>
      <c r="AY290" s="730">
        <v>9</v>
      </c>
      <c r="AZ290" s="728">
        <v>6.6000000000000003E-2</v>
      </c>
      <c r="BA290" s="730">
        <v>8</v>
      </c>
      <c r="BB290" s="733">
        <v>0.191</v>
      </c>
      <c r="BC290" s="730">
        <v>5</v>
      </c>
      <c r="BD290" s="6"/>
    </row>
    <row r="291" spans="7:56" s="704" customFormat="1" ht="15">
      <c r="G291" s="1546"/>
      <c r="W291" s="6"/>
      <c r="X291" s="87"/>
      <c r="Y291" s="87"/>
      <c r="Z291" s="739"/>
      <c r="AA291" s="739"/>
      <c r="AB291" s="743"/>
      <c r="AC291" s="108"/>
      <c r="AD291" s="108"/>
      <c r="AE291" s="770" t="s">
        <v>1179</v>
      </c>
      <c r="AF291" s="771" t="s">
        <v>653</v>
      </c>
      <c r="AG291" s="108"/>
      <c r="AH291" s="454" t="s">
        <v>443</v>
      </c>
      <c r="AI291" s="455">
        <v>205</v>
      </c>
      <c r="AJ291" s="724">
        <v>7.4917434382061526E-2</v>
      </c>
      <c r="AK291" s="725">
        <v>18</v>
      </c>
      <c r="AL291" s="726">
        <v>48605</v>
      </c>
      <c r="AM291" s="725">
        <v>12</v>
      </c>
      <c r="AN291" s="727">
        <v>0.45299999999999996</v>
      </c>
      <c r="AO291" s="725">
        <v>10</v>
      </c>
      <c r="AP291" s="727">
        <v>5.5999999999999994E-2</v>
      </c>
      <c r="AQ291" s="725">
        <v>16</v>
      </c>
      <c r="AR291" s="728">
        <v>0.64900000000000002</v>
      </c>
      <c r="AS291" s="729">
        <v>7</v>
      </c>
      <c r="AT291" s="728">
        <v>3.9E-2</v>
      </c>
      <c r="AU291" s="730">
        <v>7</v>
      </c>
      <c r="AV291" s="731">
        <v>0.38299999999999995</v>
      </c>
      <c r="AW291" s="730">
        <v>5</v>
      </c>
      <c r="AX291" s="728">
        <v>0.35799999999999998</v>
      </c>
      <c r="AY291" s="730">
        <v>5</v>
      </c>
      <c r="AZ291" s="728">
        <v>0.129</v>
      </c>
      <c r="BA291" s="730">
        <v>6</v>
      </c>
      <c r="BB291" s="733">
        <v>6.9000000000000006E-2</v>
      </c>
      <c r="BC291" s="730">
        <v>2</v>
      </c>
      <c r="BD291" s="6"/>
    </row>
    <row r="292" spans="7:56" s="704" customFormat="1" ht="15">
      <c r="G292" s="1546"/>
      <c r="W292" s="6"/>
      <c r="X292" s="87"/>
      <c r="Y292" s="87"/>
      <c r="Z292" s="739"/>
      <c r="AA292" s="739"/>
      <c r="AB292" s="743"/>
      <c r="AC292" s="108"/>
      <c r="AD292" s="108"/>
      <c r="AE292" s="770" t="s">
        <v>1180</v>
      </c>
      <c r="AF292" s="771" t="s">
        <v>653</v>
      </c>
      <c r="AG292" s="108"/>
      <c r="AH292" s="454" t="s">
        <v>443</v>
      </c>
      <c r="AI292" s="455">
        <v>206</v>
      </c>
      <c r="AJ292" s="724">
        <v>7.4917434382061526E-2</v>
      </c>
      <c r="AK292" s="725">
        <v>18</v>
      </c>
      <c r="AL292" s="726">
        <v>48605</v>
      </c>
      <c r="AM292" s="725">
        <v>12</v>
      </c>
      <c r="AN292" s="727">
        <v>0.45299999999999996</v>
      </c>
      <c r="AO292" s="725">
        <v>10</v>
      </c>
      <c r="AP292" s="727">
        <v>5.5999999999999994E-2</v>
      </c>
      <c r="AQ292" s="725">
        <v>16</v>
      </c>
      <c r="AR292" s="728">
        <v>0.71200000000000008</v>
      </c>
      <c r="AS292" s="729">
        <v>8</v>
      </c>
      <c r="AT292" s="728">
        <v>0.02</v>
      </c>
      <c r="AU292" s="730">
        <v>9</v>
      </c>
      <c r="AV292" s="731">
        <v>0.23199999999999998</v>
      </c>
      <c r="AW292" s="730">
        <v>7</v>
      </c>
      <c r="AX292" s="728">
        <v>0.193</v>
      </c>
      <c r="AY292" s="730">
        <v>7</v>
      </c>
      <c r="AZ292" s="728">
        <v>5.4000000000000006E-2</v>
      </c>
      <c r="BA292" s="730">
        <v>9</v>
      </c>
      <c r="BB292" s="733">
        <v>0.13500000000000001</v>
      </c>
      <c r="BC292" s="730">
        <v>4</v>
      </c>
      <c r="BD292" s="6"/>
    </row>
    <row r="293" spans="7:56" s="704" customFormat="1" ht="15">
      <c r="G293" s="1546"/>
      <c r="W293" s="6"/>
      <c r="X293" s="87"/>
      <c r="Y293" s="87"/>
      <c r="Z293" s="739"/>
      <c r="AA293" s="739"/>
      <c r="AB293" s="743"/>
      <c r="AC293" s="108"/>
      <c r="AD293" s="108"/>
      <c r="AE293" s="770" t="s">
        <v>2552</v>
      </c>
      <c r="AF293" s="771" t="s">
        <v>1450</v>
      </c>
      <c r="AG293" s="108"/>
      <c r="AH293" s="454" t="s">
        <v>443</v>
      </c>
      <c r="AI293" s="455">
        <v>207</v>
      </c>
      <c r="AJ293" s="724">
        <v>7.4917434382061526E-2</v>
      </c>
      <c r="AK293" s="725">
        <v>18</v>
      </c>
      <c r="AL293" s="726">
        <v>48605</v>
      </c>
      <c r="AM293" s="725">
        <v>12</v>
      </c>
      <c r="AN293" s="727">
        <v>0.45299999999999996</v>
      </c>
      <c r="AO293" s="725">
        <v>10</v>
      </c>
      <c r="AP293" s="727">
        <v>5.5999999999999994E-2</v>
      </c>
      <c r="AQ293" s="725">
        <v>16</v>
      </c>
      <c r="AR293" s="728">
        <v>0.80700000000000005</v>
      </c>
      <c r="AS293" s="729">
        <v>9</v>
      </c>
      <c r="AT293" s="728">
        <v>0.01</v>
      </c>
      <c r="AU293" s="730">
        <v>10</v>
      </c>
      <c r="AV293" s="731">
        <v>0.151</v>
      </c>
      <c r="AW293" s="730">
        <v>9</v>
      </c>
      <c r="AX293" s="728">
        <v>0.11199999999999999</v>
      </c>
      <c r="AY293" s="730">
        <v>9</v>
      </c>
      <c r="AZ293" s="728">
        <v>5.0999999999999997E-2</v>
      </c>
      <c r="BA293" s="730">
        <v>9</v>
      </c>
      <c r="BB293" s="733">
        <v>0.16500000000000001</v>
      </c>
      <c r="BC293" s="730">
        <v>5</v>
      </c>
      <c r="BD293" s="6"/>
    </row>
    <row r="294" spans="7:56" s="704" customFormat="1" ht="15">
      <c r="G294" s="1546"/>
      <c r="W294" s="6"/>
      <c r="X294" s="87"/>
      <c r="Y294" s="87"/>
      <c r="Z294" s="739"/>
      <c r="AA294" s="739"/>
      <c r="AB294" s="743"/>
      <c r="AC294" s="108"/>
      <c r="AD294" s="108"/>
      <c r="AE294" s="770" t="s">
        <v>1181</v>
      </c>
      <c r="AF294" s="771" t="s">
        <v>652</v>
      </c>
      <c r="AG294" s="108"/>
      <c r="AH294" s="454" t="s">
        <v>443</v>
      </c>
      <c r="AI294" s="455">
        <v>208</v>
      </c>
      <c r="AJ294" s="724">
        <v>7.4917434382061526E-2</v>
      </c>
      <c r="AK294" s="725">
        <v>18</v>
      </c>
      <c r="AL294" s="726">
        <v>48605</v>
      </c>
      <c r="AM294" s="725">
        <v>12</v>
      </c>
      <c r="AN294" s="727">
        <v>0.45299999999999996</v>
      </c>
      <c r="AO294" s="725">
        <v>10</v>
      </c>
      <c r="AP294" s="727">
        <v>5.5999999999999994E-2</v>
      </c>
      <c r="AQ294" s="725">
        <v>16</v>
      </c>
      <c r="AR294" s="728">
        <v>0.61799999999999999</v>
      </c>
      <c r="AS294" s="729">
        <v>7</v>
      </c>
      <c r="AT294" s="728">
        <v>1.3000000000000001E-2</v>
      </c>
      <c r="AU294" s="730">
        <v>9</v>
      </c>
      <c r="AV294" s="731">
        <v>0.26200000000000001</v>
      </c>
      <c r="AW294" s="730">
        <v>7</v>
      </c>
      <c r="AX294" s="728">
        <v>0.24600000000000002</v>
      </c>
      <c r="AY294" s="730">
        <v>6</v>
      </c>
      <c r="AZ294" s="728">
        <v>3.7000000000000005E-2</v>
      </c>
      <c r="BA294" s="730">
        <v>9</v>
      </c>
      <c r="BB294" s="733">
        <v>0.19</v>
      </c>
      <c r="BC294" s="730">
        <v>5</v>
      </c>
      <c r="BD294" s="6"/>
    </row>
    <row r="295" spans="7:56" s="704" customFormat="1" ht="15">
      <c r="G295" s="1546"/>
      <c r="W295" s="6"/>
      <c r="X295" s="87"/>
      <c r="Y295" s="87"/>
      <c r="Z295" s="739"/>
      <c r="AA295" s="739"/>
      <c r="AB295" s="743"/>
      <c r="AC295" s="108"/>
      <c r="AD295" s="108"/>
      <c r="AE295" s="770" t="s">
        <v>2553</v>
      </c>
      <c r="AF295" s="771" t="s">
        <v>1450</v>
      </c>
      <c r="AG295" s="108"/>
      <c r="AH295" s="454" t="s">
        <v>443</v>
      </c>
      <c r="AI295" s="455">
        <v>209</v>
      </c>
      <c r="AJ295" s="724">
        <v>7.4917434382061526E-2</v>
      </c>
      <c r="AK295" s="725">
        <v>18</v>
      </c>
      <c r="AL295" s="726">
        <v>48605</v>
      </c>
      <c r="AM295" s="725">
        <v>12</v>
      </c>
      <c r="AN295" s="727">
        <v>0.45299999999999996</v>
      </c>
      <c r="AO295" s="725">
        <v>10</v>
      </c>
      <c r="AP295" s="727">
        <v>5.5999999999999994E-2</v>
      </c>
      <c r="AQ295" s="725">
        <v>16</v>
      </c>
      <c r="AR295" s="728">
        <v>0.81700000000000006</v>
      </c>
      <c r="AS295" s="729">
        <v>9</v>
      </c>
      <c r="AT295" s="728">
        <v>1.3999999999999999E-2</v>
      </c>
      <c r="AU295" s="730">
        <v>9</v>
      </c>
      <c r="AV295" s="731">
        <v>0.122</v>
      </c>
      <c r="AW295" s="730">
        <v>9</v>
      </c>
      <c r="AX295" s="728">
        <v>0.157</v>
      </c>
      <c r="AY295" s="730">
        <v>8</v>
      </c>
      <c r="AZ295" s="728">
        <v>4.9000000000000002E-2</v>
      </c>
      <c r="BA295" s="730">
        <v>9</v>
      </c>
      <c r="BB295" s="733">
        <v>0.221</v>
      </c>
      <c r="BC295" s="730">
        <v>6</v>
      </c>
      <c r="BD295" s="6"/>
    </row>
    <row r="296" spans="7:56" s="704" customFormat="1" ht="15">
      <c r="G296" s="1546"/>
      <c r="W296" s="6"/>
      <c r="X296" s="87"/>
      <c r="Y296" s="87"/>
      <c r="Z296" s="739"/>
      <c r="AA296" s="739"/>
      <c r="AB296" s="743"/>
      <c r="AC296" s="108"/>
      <c r="AD296" s="108"/>
      <c r="AE296" s="770" t="s">
        <v>1182</v>
      </c>
      <c r="AF296" s="771" t="s">
        <v>1450</v>
      </c>
      <c r="AG296" s="108"/>
      <c r="AH296" s="454" t="s">
        <v>443</v>
      </c>
      <c r="AI296" s="455">
        <v>210</v>
      </c>
      <c r="AJ296" s="724">
        <v>7.4917434382061526E-2</v>
      </c>
      <c r="AK296" s="725">
        <v>18</v>
      </c>
      <c r="AL296" s="726">
        <v>48605</v>
      </c>
      <c r="AM296" s="725">
        <v>12</v>
      </c>
      <c r="AN296" s="727">
        <v>0.45299999999999996</v>
      </c>
      <c r="AO296" s="725">
        <v>10</v>
      </c>
      <c r="AP296" s="727">
        <v>5.5999999999999994E-2</v>
      </c>
      <c r="AQ296" s="725">
        <v>16</v>
      </c>
      <c r="AR296" s="728">
        <v>0.82299999999999995</v>
      </c>
      <c r="AS296" s="729">
        <v>9</v>
      </c>
      <c r="AT296" s="728">
        <v>2.4E-2</v>
      </c>
      <c r="AU296" s="730">
        <v>8</v>
      </c>
      <c r="AV296" s="731">
        <v>0.10400000000000001</v>
      </c>
      <c r="AW296" s="730">
        <v>9</v>
      </c>
      <c r="AX296" s="728">
        <v>8.3000000000000004E-2</v>
      </c>
      <c r="AY296" s="730">
        <v>9</v>
      </c>
      <c r="AZ296" s="728">
        <v>5.5E-2</v>
      </c>
      <c r="BA296" s="730">
        <v>9</v>
      </c>
      <c r="BB296" s="733">
        <v>0.16699999999999998</v>
      </c>
      <c r="BC296" s="730">
        <v>5</v>
      </c>
      <c r="BD296" s="6"/>
    </row>
    <row r="297" spans="7:56" s="704" customFormat="1" ht="15">
      <c r="G297" s="1546"/>
      <c r="W297" s="6"/>
      <c r="X297" s="87"/>
      <c r="Y297" s="87"/>
      <c r="Z297" s="739"/>
      <c r="AA297" s="739"/>
      <c r="AB297" s="743"/>
      <c r="AC297" s="108"/>
      <c r="AD297" s="108"/>
      <c r="AE297" s="770" t="s">
        <v>2554</v>
      </c>
      <c r="AF297" s="771" t="s">
        <v>652</v>
      </c>
      <c r="AG297" s="108"/>
      <c r="AH297" s="454" t="s">
        <v>443</v>
      </c>
      <c r="AI297" s="455">
        <v>211</v>
      </c>
      <c r="AJ297" s="724">
        <v>7.4917434382061526E-2</v>
      </c>
      <c r="AK297" s="725">
        <v>18</v>
      </c>
      <c r="AL297" s="726">
        <v>48605</v>
      </c>
      <c r="AM297" s="725">
        <v>12</v>
      </c>
      <c r="AN297" s="727">
        <v>0.45299999999999996</v>
      </c>
      <c r="AO297" s="725">
        <v>10</v>
      </c>
      <c r="AP297" s="727">
        <v>5.5999999999999994E-2</v>
      </c>
      <c r="AQ297" s="725">
        <v>16</v>
      </c>
      <c r="AR297" s="728">
        <v>0.72199999999999998</v>
      </c>
      <c r="AS297" s="729">
        <v>8</v>
      </c>
      <c r="AT297" s="728">
        <v>0</v>
      </c>
      <c r="AU297" s="730">
        <v>10</v>
      </c>
      <c r="AV297" s="731">
        <v>4.0999999999999995E-2</v>
      </c>
      <c r="AW297" s="730">
        <v>10</v>
      </c>
      <c r="AX297" s="728">
        <v>0.09</v>
      </c>
      <c r="AY297" s="730">
        <v>9</v>
      </c>
      <c r="AZ297" s="728">
        <v>6.0000000000000001E-3</v>
      </c>
      <c r="BA297" s="730">
        <v>10</v>
      </c>
      <c r="BB297" s="733">
        <v>0.13500000000000001</v>
      </c>
      <c r="BC297" s="730">
        <v>4</v>
      </c>
      <c r="BD297" s="6"/>
    </row>
    <row r="298" spans="7:56" s="704" customFormat="1" ht="15">
      <c r="G298" s="1546"/>
      <c r="W298" s="6"/>
      <c r="X298" s="87"/>
      <c r="Y298" s="87"/>
      <c r="Z298" s="739"/>
      <c r="AA298" s="739"/>
      <c r="AB298" s="743"/>
      <c r="AC298" s="108"/>
      <c r="AD298" s="108"/>
      <c r="AE298" s="770" t="s">
        <v>1183</v>
      </c>
      <c r="AF298" s="771" t="s">
        <v>652</v>
      </c>
      <c r="AG298" s="108"/>
      <c r="AH298" s="454" t="s">
        <v>443</v>
      </c>
      <c r="AI298" s="455">
        <v>212</v>
      </c>
      <c r="AJ298" s="724">
        <v>7.4917434382061526E-2</v>
      </c>
      <c r="AK298" s="725">
        <v>18</v>
      </c>
      <c r="AL298" s="726">
        <v>48605</v>
      </c>
      <c r="AM298" s="725">
        <v>12</v>
      </c>
      <c r="AN298" s="727">
        <v>0.45299999999999996</v>
      </c>
      <c r="AO298" s="725">
        <v>10</v>
      </c>
      <c r="AP298" s="727">
        <v>5.5999999999999994E-2</v>
      </c>
      <c r="AQ298" s="725">
        <v>16</v>
      </c>
      <c r="AR298" s="728">
        <v>0.8</v>
      </c>
      <c r="AS298" s="729">
        <v>9</v>
      </c>
      <c r="AT298" s="728">
        <v>3.0000000000000005E-3</v>
      </c>
      <c r="AU298" s="730">
        <v>10</v>
      </c>
      <c r="AV298" s="731">
        <v>8.199999999999999E-2</v>
      </c>
      <c r="AW298" s="730">
        <v>9</v>
      </c>
      <c r="AX298" s="728">
        <v>7.0999999999999994E-2</v>
      </c>
      <c r="AY298" s="730">
        <v>9</v>
      </c>
      <c r="AZ298" s="728">
        <v>3.9E-2</v>
      </c>
      <c r="BA298" s="730">
        <v>9</v>
      </c>
      <c r="BB298" s="733">
        <v>0.20600000000000002</v>
      </c>
      <c r="BC298" s="730">
        <v>6</v>
      </c>
      <c r="BD298" s="6"/>
    </row>
    <row r="299" spans="7:56" s="704" customFormat="1" ht="15">
      <c r="G299" s="1546"/>
      <c r="W299" s="6"/>
      <c r="X299" s="87"/>
      <c r="Y299" s="87"/>
      <c r="Z299" s="739"/>
      <c r="AA299" s="739"/>
      <c r="AB299" s="743"/>
      <c r="AC299" s="108"/>
      <c r="AD299" s="108"/>
      <c r="AE299" s="770" t="s">
        <v>2788</v>
      </c>
      <c r="AF299" s="771" t="s">
        <v>1450</v>
      </c>
      <c r="AG299" s="108"/>
      <c r="AH299" s="454" t="s">
        <v>443</v>
      </c>
      <c r="AI299" s="455">
        <v>213</v>
      </c>
      <c r="AJ299" s="724">
        <v>7.4917434382061526E-2</v>
      </c>
      <c r="AK299" s="725">
        <v>18</v>
      </c>
      <c r="AL299" s="726">
        <v>48605</v>
      </c>
      <c r="AM299" s="725">
        <v>12</v>
      </c>
      <c r="AN299" s="727">
        <v>0.45299999999999996</v>
      </c>
      <c r="AO299" s="725">
        <v>10</v>
      </c>
      <c r="AP299" s="727">
        <v>5.5999999999999994E-2</v>
      </c>
      <c r="AQ299" s="725">
        <v>16</v>
      </c>
      <c r="AR299" s="728">
        <v>0.77500000000000002</v>
      </c>
      <c r="AS299" s="729">
        <v>9</v>
      </c>
      <c r="AT299" s="728">
        <v>1.1000000000000001E-2</v>
      </c>
      <c r="AU299" s="730">
        <v>9</v>
      </c>
      <c r="AV299" s="731">
        <v>0.192</v>
      </c>
      <c r="AW299" s="730">
        <v>8</v>
      </c>
      <c r="AX299" s="728">
        <v>0.16500000000000001</v>
      </c>
      <c r="AY299" s="730">
        <v>8</v>
      </c>
      <c r="AZ299" s="728">
        <v>8.1000000000000003E-2</v>
      </c>
      <c r="BA299" s="730">
        <v>8</v>
      </c>
      <c r="BB299" s="733">
        <v>7.2999999999999995E-2</v>
      </c>
      <c r="BC299" s="730">
        <v>2</v>
      </c>
      <c r="BD299" s="6"/>
    </row>
    <row r="300" spans="7:56" s="704" customFormat="1" ht="15">
      <c r="G300" s="1546"/>
      <c r="W300" s="6"/>
      <c r="X300" s="87"/>
      <c r="Y300" s="87"/>
      <c r="Z300" s="739"/>
      <c r="AA300" s="739"/>
      <c r="AB300" s="743"/>
      <c r="AC300" s="108"/>
      <c r="AD300" s="108"/>
      <c r="AE300" s="770" t="s">
        <v>1184</v>
      </c>
      <c r="AF300" s="771" t="s">
        <v>653</v>
      </c>
      <c r="AG300" s="108"/>
      <c r="AH300" s="454" t="s">
        <v>443</v>
      </c>
      <c r="AI300" s="455">
        <v>214</v>
      </c>
      <c r="AJ300" s="724">
        <v>7.4917434382061526E-2</v>
      </c>
      <c r="AK300" s="725">
        <v>18</v>
      </c>
      <c r="AL300" s="726">
        <v>48605</v>
      </c>
      <c r="AM300" s="725">
        <v>12</v>
      </c>
      <c r="AN300" s="727">
        <v>0.45299999999999996</v>
      </c>
      <c r="AO300" s="725">
        <v>10</v>
      </c>
      <c r="AP300" s="727">
        <v>5.5999999999999994E-2</v>
      </c>
      <c r="AQ300" s="725">
        <v>16</v>
      </c>
      <c r="AR300" s="728">
        <v>0.83900000000000008</v>
      </c>
      <c r="AS300" s="729">
        <v>9</v>
      </c>
      <c r="AT300" s="728">
        <v>1.8000000000000002E-2</v>
      </c>
      <c r="AU300" s="730">
        <v>9</v>
      </c>
      <c r="AV300" s="731">
        <v>0.122</v>
      </c>
      <c r="AW300" s="730">
        <v>9</v>
      </c>
      <c r="AX300" s="728">
        <v>0.155</v>
      </c>
      <c r="AY300" s="730">
        <v>8</v>
      </c>
      <c r="AZ300" s="728">
        <v>3.5000000000000003E-2</v>
      </c>
      <c r="BA300" s="730">
        <v>9</v>
      </c>
      <c r="BB300" s="733">
        <v>0.126</v>
      </c>
      <c r="BC300" s="730">
        <v>4</v>
      </c>
      <c r="BD300" s="6"/>
    </row>
    <row r="301" spans="7:56" s="704" customFormat="1" ht="15">
      <c r="G301" s="1546"/>
      <c r="W301" s="6"/>
      <c r="X301" s="87"/>
      <c r="Y301" s="87"/>
      <c r="Z301" s="739"/>
      <c r="AA301" s="739"/>
      <c r="AB301" s="743"/>
      <c r="AC301" s="108"/>
      <c r="AD301" s="108"/>
      <c r="AE301" s="770" t="s">
        <v>2555</v>
      </c>
      <c r="AF301" s="771" t="s">
        <v>1450</v>
      </c>
      <c r="AG301" s="108"/>
      <c r="AH301" s="454" t="s">
        <v>443</v>
      </c>
      <c r="AI301" s="455">
        <v>215</v>
      </c>
      <c r="AJ301" s="724">
        <v>7.4917434382061526E-2</v>
      </c>
      <c r="AK301" s="725">
        <v>18</v>
      </c>
      <c r="AL301" s="726">
        <v>48605</v>
      </c>
      <c r="AM301" s="725">
        <v>12</v>
      </c>
      <c r="AN301" s="727">
        <v>0.45299999999999996</v>
      </c>
      <c r="AO301" s="725">
        <v>10</v>
      </c>
      <c r="AP301" s="727">
        <v>5.5999999999999994E-2</v>
      </c>
      <c r="AQ301" s="725">
        <v>16</v>
      </c>
      <c r="AR301" s="728">
        <v>0.81299999999999994</v>
      </c>
      <c r="AS301" s="729">
        <v>9</v>
      </c>
      <c r="AT301" s="728">
        <v>2.8999999999999998E-2</v>
      </c>
      <c r="AU301" s="730">
        <v>8</v>
      </c>
      <c r="AV301" s="731">
        <v>0.14099999999999999</v>
      </c>
      <c r="AW301" s="730">
        <v>9</v>
      </c>
      <c r="AX301" s="728">
        <v>0.159</v>
      </c>
      <c r="AY301" s="730">
        <v>8</v>
      </c>
      <c r="AZ301" s="728">
        <v>7.9000000000000001E-2</v>
      </c>
      <c r="BA301" s="730">
        <v>8</v>
      </c>
      <c r="BB301" s="733">
        <v>0.113</v>
      </c>
      <c r="BC301" s="730">
        <v>3</v>
      </c>
      <c r="BD301" s="6"/>
    </row>
    <row r="302" spans="7:56" s="704" customFormat="1" ht="15">
      <c r="G302" s="1546"/>
      <c r="W302" s="6"/>
      <c r="X302" s="87"/>
      <c r="Y302" s="87"/>
      <c r="Z302" s="739"/>
      <c r="AA302" s="739"/>
      <c r="AB302" s="743"/>
      <c r="AC302" s="108"/>
      <c r="AD302" s="108"/>
      <c r="AE302" s="770" t="s">
        <v>1185</v>
      </c>
      <c r="AF302" s="771" t="s">
        <v>1450</v>
      </c>
      <c r="AG302" s="108"/>
      <c r="AH302" s="454" t="s">
        <v>443</v>
      </c>
      <c r="AI302" s="455">
        <v>216</v>
      </c>
      <c r="AJ302" s="724">
        <v>7.4917434382061526E-2</v>
      </c>
      <c r="AK302" s="725">
        <v>18</v>
      </c>
      <c r="AL302" s="726">
        <v>48605</v>
      </c>
      <c r="AM302" s="725">
        <v>12</v>
      </c>
      <c r="AN302" s="727">
        <v>0.45299999999999996</v>
      </c>
      <c r="AO302" s="725">
        <v>10</v>
      </c>
      <c r="AP302" s="727">
        <v>5.5999999999999994E-2</v>
      </c>
      <c r="AQ302" s="725">
        <v>16</v>
      </c>
      <c r="AR302" s="728">
        <v>0.86499999999999999</v>
      </c>
      <c r="AS302" s="729">
        <v>10</v>
      </c>
      <c r="AT302" s="728">
        <v>1.8000000000000002E-2</v>
      </c>
      <c r="AU302" s="730">
        <v>9</v>
      </c>
      <c r="AV302" s="731">
        <v>0.12300000000000001</v>
      </c>
      <c r="AW302" s="730">
        <v>9</v>
      </c>
      <c r="AX302" s="728">
        <v>0.16399999999999998</v>
      </c>
      <c r="AY302" s="730">
        <v>8</v>
      </c>
      <c r="AZ302" s="728">
        <v>4.7E-2</v>
      </c>
      <c r="BA302" s="730">
        <v>9</v>
      </c>
      <c r="BB302" s="733">
        <v>8.6999999999999994E-2</v>
      </c>
      <c r="BC302" s="730">
        <v>3</v>
      </c>
      <c r="BD302" s="6"/>
    </row>
    <row r="303" spans="7:56" s="704" customFormat="1" ht="15">
      <c r="G303" s="1546"/>
      <c r="W303" s="6"/>
      <c r="X303" s="87"/>
      <c r="Y303" s="87"/>
      <c r="Z303" s="739"/>
      <c r="AA303" s="739"/>
      <c r="AB303" s="743"/>
      <c r="AC303" s="108"/>
      <c r="AD303" s="108"/>
      <c r="AE303" s="770" t="s">
        <v>1186</v>
      </c>
      <c r="AF303" s="771" t="s">
        <v>1450</v>
      </c>
      <c r="AG303" s="108"/>
      <c r="AH303" s="454" t="s">
        <v>443</v>
      </c>
      <c r="AI303" s="455">
        <v>217</v>
      </c>
      <c r="AJ303" s="724">
        <v>7.4917434382061526E-2</v>
      </c>
      <c r="AK303" s="725">
        <v>18</v>
      </c>
      <c r="AL303" s="726">
        <v>48605</v>
      </c>
      <c r="AM303" s="725">
        <v>12</v>
      </c>
      <c r="AN303" s="727">
        <v>0.45299999999999996</v>
      </c>
      <c r="AO303" s="725">
        <v>10</v>
      </c>
      <c r="AP303" s="727">
        <v>5.5999999999999994E-2</v>
      </c>
      <c r="AQ303" s="725">
        <v>16</v>
      </c>
      <c r="AR303" s="728">
        <v>0.81499999999999995</v>
      </c>
      <c r="AS303" s="729">
        <v>9</v>
      </c>
      <c r="AT303" s="728">
        <v>0</v>
      </c>
      <c r="AU303" s="730">
        <v>10</v>
      </c>
      <c r="AV303" s="731">
        <v>0.17499999999999999</v>
      </c>
      <c r="AW303" s="730">
        <v>8</v>
      </c>
      <c r="AX303" s="728">
        <v>0.155</v>
      </c>
      <c r="AY303" s="730">
        <v>8</v>
      </c>
      <c r="AZ303" s="728">
        <v>8.5999999999999993E-2</v>
      </c>
      <c r="BA303" s="730">
        <v>8</v>
      </c>
      <c r="BB303" s="733">
        <v>0.08</v>
      </c>
      <c r="BC303" s="730">
        <v>3</v>
      </c>
      <c r="BD303" s="6"/>
    </row>
    <row r="304" spans="7:56" s="704" customFormat="1" ht="15">
      <c r="G304" s="1546"/>
      <c r="W304" s="6"/>
      <c r="X304" s="87"/>
      <c r="Y304" s="87"/>
      <c r="Z304" s="739"/>
      <c r="AA304" s="739"/>
      <c r="AB304" s="743"/>
      <c r="AC304" s="108"/>
      <c r="AD304" s="108"/>
      <c r="AE304" s="770" t="s">
        <v>1755</v>
      </c>
      <c r="AF304" s="771" t="s">
        <v>1450</v>
      </c>
      <c r="AG304" s="108"/>
      <c r="AH304" s="454" t="s">
        <v>443</v>
      </c>
      <c r="AI304" s="455">
        <v>218</v>
      </c>
      <c r="AJ304" s="724">
        <v>7.4917434382061526E-2</v>
      </c>
      <c r="AK304" s="725">
        <v>18</v>
      </c>
      <c r="AL304" s="726">
        <v>48605</v>
      </c>
      <c r="AM304" s="725">
        <v>12</v>
      </c>
      <c r="AN304" s="727">
        <v>0.45299999999999996</v>
      </c>
      <c r="AO304" s="725">
        <v>10</v>
      </c>
      <c r="AP304" s="727">
        <v>5.5999999999999994E-2</v>
      </c>
      <c r="AQ304" s="725">
        <v>16</v>
      </c>
      <c r="AR304" s="728">
        <v>0.79400000000000004</v>
      </c>
      <c r="AS304" s="729">
        <v>9</v>
      </c>
      <c r="AT304" s="728">
        <v>3.7000000000000005E-2</v>
      </c>
      <c r="AU304" s="730">
        <v>7</v>
      </c>
      <c r="AV304" s="731">
        <v>0.16899999999999998</v>
      </c>
      <c r="AW304" s="730">
        <v>8</v>
      </c>
      <c r="AX304" s="728">
        <v>0.17199999999999999</v>
      </c>
      <c r="AY304" s="730">
        <v>8</v>
      </c>
      <c r="AZ304" s="728">
        <v>1.7000000000000001E-2</v>
      </c>
      <c r="BA304" s="730">
        <v>10</v>
      </c>
      <c r="BB304" s="733">
        <v>4.7E-2</v>
      </c>
      <c r="BC304" s="730">
        <v>2</v>
      </c>
      <c r="BD304" s="6"/>
    </row>
    <row r="305" spans="7:56" s="704" customFormat="1" ht="15">
      <c r="G305" s="1546"/>
      <c r="W305" s="6"/>
      <c r="X305" s="87"/>
      <c r="Y305" s="87"/>
      <c r="Z305" s="739"/>
      <c r="AA305" s="739"/>
      <c r="AB305" s="743"/>
      <c r="AC305" s="108"/>
      <c r="AD305" s="108"/>
      <c r="AE305" s="770" t="s">
        <v>1187</v>
      </c>
      <c r="AF305" s="771" t="s">
        <v>1450</v>
      </c>
      <c r="AG305" s="108"/>
      <c r="AH305" s="454" t="s">
        <v>444</v>
      </c>
      <c r="AI305" s="455">
        <v>202</v>
      </c>
      <c r="AJ305" s="724">
        <v>0.10397680198840099</v>
      </c>
      <c r="AK305" s="725">
        <v>12</v>
      </c>
      <c r="AL305" s="726">
        <v>43918</v>
      </c>
      <c r="AM305" s="725">
        <v>14</v>
      </c>
      <c r="AN305" s="727">
        <v>0.46899999999999997</v>
      </c>
      <c r="AO305" s="725">
        <v>12</v>
      </c>
      <c r="AP305" s="727">
        <v>7.2999999999999995E-2</v>
      </c>
      <c r="AQ305" s="725">
        <v>14</v>
      </c>
      <c r="AR305" s="728">
        <v>0.65799999999999992</v>
      </c>
      <c r="AS305" s="729">
        <v>7</v>
      </c>
      <c r="AT305" s="728">
        <v>3.2000000000000001E-2</v>
      </c>
      <c r="AU305" s="730">
        <v>8</v>
      </c>
      <c r="AV305" s="731">
        <v>0.245</v>
      </c>
      <c r="AW305" s="730">
        <v>7</v>
      </c>
      <c r="AX305" s="728">
        <v>0.23699999999999999</v>
      </c>
      <c r="AY305" s="730">
        <v>7</v>
      </c>
      <c r="AZ305" s="728">
        <v>0.19500000000000001</v>
      </c>
      <c r="BA305" s="730">
        <v>4</v>
      </c>
      <c r="BB305" s="733">
        <v>6.8000000000000005E-2</v>
      </c>
      <c r="BC305" s="730">
        <v>2</v>
      </c>
      <c r="BD305" s="6"/>
    </row>
    <row r="306" spans="7:56" s="704" customFormat="1" ht="15">
      <c r="G306" s="1546"/>
      <c r="W306" s="6"/>
      <c r="X306" s="87"/>
      <c r="Y306" s="87"/>
      <c r="Z306" s="739"/>
      <c r="AA306" s="739"/>
      <c r="AB306" s="743"/>
      <c r="AC306" s="108"/>
      <c r="AD306" s="108"/>
      <c r="AE306" s="770" t="s">
        <v>1188</v>
      </c>
      <c r="AF306" s="771" t="s">
        <v>1450</v>
      </c>
      <c r="AG306" s="108"/>
      <c r="AH306" s="454" t="s">
        <v>444</v>
      </c>
      <c r="AI306" s="455">
        <v>205</v>
      </c>
      <c r="AJ306" s="724">
        <v>0.10397680198840099</v>
      </c>
      <c r="AK306" s="725">
        <v>12</v>
      </c>
      <c r="AL306" s="726">
        <v>43918</v>
      </c>
      <c r="AM306" s="725">
        <v>14</v>
      </c>
      <c r="AN306" s="727">
        <v>0.46899999999999997</v>
      </c>
      <c r="AO306" s="725">
        <v>12</v>
      </c>
      <c r="AP306" s="727">
        <v>7.2999999999999995E-2</v>
      </c>
      <c r="AQ306" s="725">
        <v>14</v>
      </c>
      <c r="AR306" s="728">
        <v>0.51400000000000001</v>
      </c>
      <c r="AS306" s="729">
        <v>6</v>
      </c>
      <c r="AT306" s="728">
        <v>9.0000000000000011E-3</v>
      </c>
      <c r="AU306" s="730">
        <v>10</v>
      </c>
      <c r="AV306" s="731">
        <v>0.23100000000000001</v>
      </c>
      <c r="AW306" s="730">
        <v>7</v>
      </c>
      <c r="AX306" s="728">
        <v>0.24</v>
      </c>
      <c r="AY306" s="730">
        <v>7</v>
      </c>
      <c r="AZ306" s="728">
        <v>6.8000000000000005E-2</v>
      </c>
      <c r="BA306" s="730">
        <v>8</v>
      </c>
      <c r="BB306" s="733">
        <v>4.2999999999999997E-2</v>
      </c>
      <c r="BC306" s="730">
        <v>2</v>
      </c>
      <c r="BD306" s="6"/>
    </row>
    <row r="307" spans="7:56" s="704" customFormat="1" ht="15">
      <c r="G307" s="1546"/>
      <c r="W307" s="6"/>
      <c r="X307" s="87"/>
      <c r="Y307" s="87"/>
      <c r="Z307" s="739"/>
      <c r="AA307" s="739"/>
      <c r="AB307" s="743"/>
      <c r="AC307" s="108"/>
      <c r="AD307" s="108"/>
      <c r="AE307" s="770" t="s">
        <v>1189</v>
      </c>
      <c r="AF307" s="771" t="s">
        <v>652</v>
      </c>
      <c r="AG307" s="108"/>
      <c r="AH307" s="454" t="s">
        <v>444</v>
      </c>
      <c r="AI307" s="455">
        <v>206.01</v>
      </c>
      <c r="AJ307" s="724">
        <v>0.10397680198840099</v>
      </c>
      <c r="AK307" s="725">
        <v>12</v>
      </c>
      <c r="AL307" s="726">
        <v>43918</v>
      </c>
      <c r="AM307" s="725">
        <v>14</v>
      </c>
      <c r="AN307" s="727">
        <v>0.46899999999999997</v>
      </c>
      <c r="AO307" s="725">
        <v>12</v>
      </c>
      <c r="AP307" s="727">
        <v>7.2999999999999995E-2</v>
      </c>
      <c r="AQ307" s="725">
        <v>14</v>
      </c>
      <c r="AR307" s="728">
        <v>0.65500000000000003</v>
      </c>
      <c r="AS307" s="729">
        <v>7</v>
      </c>
      <c r="AT307" s="728">
        <v>6.0000000000000001E-3</v>
      </c>
      <c r="AU307" s="730">
        <v>10</v>
      </c>
      <c r="AV307" s="731">
        <v>0.161</v>
      </c>
      <c r="AW307" s="730">
        <v>8</v>
      </c>
      <c r="AX307" s="728">
        <v>0.14699999999999999</v>
      </c>
      <c r="AY307" s="730">
        <v>8</v>
      </c>
      <c r="AZ307" s="728">
        <v>3.9E-2</v>
      </c>
      <c r="BA307" s="730">
        <v>9</v>
      </c>
      <c r="BB307" s="733">
        <v>0.106</v>
      </c>
      <c r="BC307" s="730">
        <v>3</v>
      </c>
      <c r="BD307" s="6"/>
    </row>
    <row r="308" spans="7:56" s="704" customFormat="1" ht="15">
      <c r="G308" s="1546"/>
      <c r="W308" s="6"/>
      <c r="X308" s="87"/>
      <c r="Y308" s="87"/>
      <c r="Z308" s="739"/>
      <c r="AA308" s="739"/>
      <c r="AB308" s="743"/>
      <c r="AC308" s="108"/>
      <c r="AD308" s="108"/>
      <c r="AE308" s="770" t="s">
        <v>2556</v>
      </c>
      <c r="AF308" s="771" t="s">
        <v>653</v>
      </c>
      <c r="AG308" s="108"/>
      <c r="AH308" s="454" t="s">
        <v>444</v>
      </c>
      <c r="AI308" s="455">
        <v>207.02</v>
      </c>
      <c r="AJ308" s="724">
        <v>0.10397680198840099</v>
      </c>
      <c r="AK308" s="725">
        <v>12</v>
      </c>
      <c r="AL308" s="726">
        <v>43918</v>
      </c>
      <c r="AM308" s="725">
        <v>14</v>
      </c>
      <c r="AN308" s="727">
        <v>0.46899999999999997</v>
      </c>
      <c r="AO308" s="725">
        <v>12</v>
      </c>
      <c r="AP308" s="727">
        <v>7.2999999999999995E-2</v>
      </c>
      <c r="AQ308" s="725">
        <v>14</v>
      </c>
      <c r="AR308" s="728">
        <v>0.745</v>
      </c>
      <c r="AS308" s="729">
        <v>8</v>
      </c>
      <c r="AT308" s="728">
        <v>0</v>
      </c>
      <c r="AU308" s="730">
        <v>10</v>
      </c>
      <c r="AV308" s="731">
        <v>0.10400000000000001</v>
      </c>
      <c r="AW308" s="730">
        <v>9</v>
      </c>
      <c r="AX308" s="728">
        <v>0.05</v>
      </c>
      <c r="AY308" s="730">
        <v>10</v>
      </c>
      <c r="AZ308" s="728">
        <v>3.5000000000000003E-2</v>
      </c>
      <c r="BA308" s="730">
        <v>9</v>
      </c>
      <c r="BB308" s="733">
        <v>0.17399999999999999</v>
      </c>
      <c r="BC308" s="730">
        <v>5</v>
      </c>
      <c r="BD308" s="6"/>
    </row>
    <row r="309" spans="7:56" s="704" customFormat="1" ht="15">
      <c r="G309" s="1546"/>
      <c r="W309" s="6"/>
      <c r="X309" s="87"/>
      <c r="Y309" s="87"/>
      <c r="Z309" s="739"/>
      <c r="AA309" s="739"/>
      <c r="AB309" s="743"/>
      <c r="AC309" s="108"/>
      <c r="AD309" s="108"/>
      <c r="AE309" s="770" t="s">
        <v>2557</v>
      </c>
      <c r="AF309" s="771" t="s">
        <v>653</v>
      </c>
      <c r="AG309" s="108"/>
      <c r="AH309" s="454" t="s">
        <v>444</v>
      </c>
      <c r="AI309" s="455">
        <v>208</v>
      </c>
      <c r="AJ309" s="724">
        <v>0.10397680198840099</v>
      </c>
      <c r="AK309" s="725">
        <v>12</v>
      </c>
      <c r="AL309" s="726">
        <v>43918</v>
      </c>
      <c r="AM309" s="725">
        <v>14</v>
      </c>
      <c r="AN309" s="727">
        <v>0.46899999999999997</v>
      </c>
      <c r="AO309" s="725">
        <v>12</v>
      </c>
      <c r="AP309" s="727">
        <v>7.2999999999999995E-2</v>
      </c>
      <c r="AQ309" s="725">
        <v>14</v>
      </c>
      <c r="AR309" s="728">
        <v>0.83099999999999996</v>
      </c>
      <c r="AS309" s="729">
        <v>9</v>
      </c>
      <c r="AT309" s="728">
        <v>2.1000000000000001E-2</v>
      </c>
      <c r="AU309" s="730">
        <v>9</v>
      </c>
      <c r="AV309" s="731">
        <v>0.16899999999999998</v>
      </c>
      <c r="AW309" s="730">
        <v>8</v>
      </c>
      <c r="AX309" s="728">
        <v>0.12300000000000001</v>
      </c>
      <c r="AY309" s="730">
        <v>8</v>
      </c>
      <c r="AZ309" s="728">
        <v>3.4000000000000002E-2</v>
      </c>
      <c r="BA309" s="730">
        <v>9</v>
      </c>
      <c r="BB309" s="733">
        <v>0.11900000000000001</v>
      </c>
      <c r="BC309" s="730">
        <v>4</v>
      </c>
      <c r="BD309" s="6"/>
    </row>
    <row r="310" spans="7:56" s="704" customFormat="1" ht="15">
      <c r="G310" s="1546"/>
      <c r="W310" s="6"/>
      <c r="X310" s="87"/>
      <c r="Y310" s="87"/>
      <c r="Z310" s="739"/>
      <c r="AA310" s="739"/>
      <c r="AB310" s="743"/>
      <c r="AC310" s="108"/>
      <c r="AD310" s="108"/>
      <c r="AE310" s="770" t="s">
        <v>1190</v>
      </c>
      <c r="AF310" s="771" t="s">
        <v>653</v>
      </c>
      <c r="AG310" s="108"/>
      <c r="AH310" s="454" t="s">
        <v>444</v>
      </c>
      <c r="AI310" s="455">
        <v>209</v>
      </c>
      <c r="AJ310" s="724">
        <v>0.10397680198840099</v>
      </c>
      <c r="AK310" s="725">
        <v>12</v>
      </c>
      <c r="AL310" s="726">
        <v>43918</v>
      </c>
      <c r="AM310" s="725">
        <v>14</v>
      </c>
      <c r="AN310" s="727">
        <v>0.46899999999999997</v>
      </c>
      <c r="AO310" s="725">
        <v>12</v>
      </c>
      <c r="AP310" s="727">
        <v>7.2999999999999995E-2</v>
      </c>
      <c r="AQ310" s="725">
        <v>14</v>
      </c>
      <c r="AR310" s="728">
        <v>0.86</v>
      </c>
      <c r="AS310" s="729">
        <v>10</v>
      </c>
      <c r="AT310" s="728">
        <v>1.8000000000000002E-2</v>
      </c>
      <c r="AU310" s="730">
        <v>9</v>
      </c>
      <c r="AV310" s="731">
        <v>8.900000000000001E-2</v>
      </c>
      <c r="AW310" s="730">
        <v>9</v>
      </c>
      <c r="AX310" s="728">
        <v>0.124</v>
      </c>
      <c r="AY310" s="730">
        <v>8</v>
      </c>
      <c r="AZ310" s="728">
        <v>3.5000000000000003E-2</v>
      </c>
      <c r="BA310" s="730">
        <v>9</v>
      </c>
      <c r="BB310" s="733">
        <v>0.125</v>
      </c>
      <c r="BC310" s="730">
        <v>4</v>
      </c>
      <c r="BD310" s="6"/>
    </row>
    <row r="311" spans="7:56" s="704" customFormat="1" ht="15">
      <c r="G311" s="1546"/>
      <c r="W311" s="6"/>
      <c r="X311" s="87"/>
      <c r="Y311" s="87"/>
      <c r="Z311" s="739"/>
      <c r="AA311" s="739"/>
      <c r="AB311" s="743"/>
      <c r="AC311" s="108"/>
      <c r="AD311" s="108"/>
      <c r="AE311" s="770" t="s">
        <v>1191</v>
      </c>
      <c r="AF311" s="771" t="s">
        <v>1450</v>
      </c>
      <c r="AG311" s="108"/>
      <c r="AH311" s="454" t="s">
        <v>444</v>
      </c>
      <c r="AI311" s="455">
        <v>210</v>
      </c>
      <c r="AJ311" s="724">
        <v>0.10397680198840099</v>
      </c>
      <c r="AK311" s="725">
        <v>12</v>
      </c>
      <c r="AL311" s="726">
        <v>43918</v>
      </c>
      <c r="AM311" s="725">
        <v>14</v>
      </c>
      <c r="AN311" s="727">
        <v>0.46899999999999997</v>
      </c>
      <c r="AO311" s="725">
        <v>12</v>
      </c>
      <c r="AP311" s="727">
        <v>7.2999999999999995E-2</v>
      </c>
      <c r="AQ311" s="725">
        <v>14</v>
      </c>
      <c r="AR311" s="728">
        <v>0.80400000000000005</v>
      </c>
      <c r="AS311" s="729">
        <v>9</v>
      </c>
      <c r="AT311" s="728">
        <v>1E-3</v>
      </c>
      <c r="AU311" s="730">
        <v>10</v>
      </c>
      <c r="AV311" s="731">
        <v>0.22699999999999998</v>
      </c>
      <c r="AW311" s="730">
        <v>7</v>
      </c>
      <c r="AX311" s="728">
        <v>9.9000000000000005E-2</v>
      </c>
      <c r="AY311" s="730">
        <v>9</v>
      </c>
      <c r="AZ311" s="728">
        <v>0.04</v>
      </c>
      <c r="BA311" s="730">
        <v>9</v>
      </c>
      <c r="BB311" s="733">
        <v>0.10199999999999999</v>
      </c>
      <c r="BC311" s="730">
        <v>3</v>
      </c>
      <c r="BD311" s="6"/>
    </row>
    <row r="312" spans="7:56" s="704" customFormat="1" ht="15">
      <c r="G312" s="1546"/>
      <c r="W312" s="6"/>
      <c r="X312" s="87"/>
      <c r="Y312" s="87"/>
      <c r="Z312" s="739"/>
      <c r="AA312" s="739"/>
      <c r="AB312" s="743"/>
      <c r="AC312" s="108"/>
      <c r="AD312" s="108"/>
      <c r="AE312" s="770" t="s">
        <v>1192</v>
      </c>
      <c r="AF312" s="771" t="s">
        <v>1450</v>
      </c>
      <c r="AG312" s="108"/>
      <c r="AH312" s="454" t="s">
        <v>444</v>
      </c>
      <c r="AI312" s="455">
        <v>211</v>
      </c>
      <c r="AJ312" s="724">
        <v>0.10397680198840099</v>
      </c>
      <c r="AK312" s="725">
        <v>12</v>
      </c>
      <c r="AL312" s="726">
        <v>43918</v>
      </c>
      <c r="AM312" s="725">
        <v>14</v>
      </c>
      <c r="AN312" s="727">
        <v>0.46899999999999997</v>
      </c>
      <c r="AO312" s="725">
        <v>12</v>
      </c>
      <c r="AP312" s="727">
        <v>7.2999999999999995E-2</v>
      </c>
      <c r="AQ312" s="725">
        <v>14</v>
      </c>
      <c r="AR312" s="728">
        <v>0.85699999999999998</v>
      </c>
      <c r="AS312" s="729">
        <v>10</v>
      </c>
      <c r="AT312" s="728">
        <v>0</v>
      </c>
      <c r="AU312" s="730">
        <v>10</v>
      </c>
      <c r="AV312" s="731">
        <v>0.124</v>
      </c>
      <c r="AW312" s="730">
        <v>9</v>
      </c>
      <c r="AX312" s="728">
        <v>0.115</v>
      </c>
      <c r="AY312" s="730">
        <v>9</v>
      </c>
      <c r="AZ312" s="728">
        <v>4.0999999999999995E-2</v>
      </c>
      <c r="BA312" s="730">
        <v>9</v>
      </c>
      <c r="BB312" s="733">
        <v>9.6000000000000002E-2</v>
      </c>
      <c r="BC312" s="730">
        <v>3</v>
      </c>
      <c r="BD312" s="6"/>
    </row>
    <row r="313" spans="7:56" s="704" customFormat="1" ht="15">
      <c r="G313" s="1546"/>
      <c r="W313" s="6"/>
      <c r="X313" s="87"/>
      <c r="Y313" s="87"/>
      <c r="Z313" s="739"/>
      <c r="AA313" s="739"/>
      <c r="AB313" s="743"/>
      <c r="AC313" s="108"/>
      <c r="AD313" s="108"/>
      <c r="AE313" s="770" t="s">
        <v>1193</v>
      </c>
      <c r="AF313" s="771" t="s">
        <v>653</v>
      </c>
      <c r="AG313" s="108"/>
      <c r="AH313" s="454" t="s">
        <v>444</v>
      </c>
      <c r="AI313" s="455">
        <v>213</v>
      </c>
      <c r="AJ313" s="724">
        <v>0.10397680198840099</v>
      </c>
      <c r="AK313" s="725">
        <v>12</v>
      </c>
      <c r="AL313" s="726">
        <v>43918</v>
      </c>
      <c r="AM313" s="725">
        <v>14</v>
      </c>
      <c r="AN313" s="727">
        <v>0.46899999999999997</v>
      </c>
      <c r="AO313" s="725">
        <v>12</v>
      </c>
      <c r="AP313" s="727">
        <v>7.2999999999999995E-2</v>
      </c>
      <c r="AQ313" s="725">
        <v>14</v>
      </c>
      <c r="AR313" s="728">
        <v>0.91099999999999992</v>
      </c>
      <c r="AS313" s="729">
        <v>10</v>
      </c>
      <c r="AT313" s="728">
        <v>1.4999999999999999E-2</v>
      </c>
      <c r="AU313" s="730">
        <v>9</v>
      </c>
      <c r="AV313" s="731">
        <v>7.2999999999999995E-2</v>
      </c>
      <c r="AW313" s="730">
        <v>10</v>
      </c>
      <c r="AX313" s="728">
        <v>7.0999999999999994E-2</v>
      </c>
      <c r="AY313" s="730">
        <v>9</v>
      </c>
      <c r="AZ313" s="728">
        <v>1.7000000000000001E-2</v>
      </c>
      <c r="BA313" s="730">
        <v>10</v>
      </c>
      <c r="BB313" s="733">
        <v>0.17</v>
      </c>
      <c r="BC313" s="730">
        <v>5</v>
      </c>
      <c r="BD313" s="6"/>
    </row>
    <row r="314" spans="7:56" s="704" customFormat="1" ht="15">
      <c r="G314" s="1546"/>
      <c r="W314" s="6"/>
      <c r="X314" s="87"/>
      <c r="Y314" s="87"/>
      <c r="Z314" s="739"/>
      <c r="AA314" s="739"/>
      <c r="AB314" s="743"/>
      <c r="AC314" s="108"/>
      <c r="AD314" s="108"/>
      <c r="AE314" s="770" t="s">
        <v>1194</v>
      </c>
      <c r="AF314" s="771" t="s">
        <v>653</v>
      </c>
      <c r="AG314" s="108"/>
      <c r="AH314" s="454" t="s">
        <v>445</v>
      </c>
      <c r="AI314" s="455">
        <v>9548.01</v>
      </c>
      <c r="AJ314" s="735">
        <v>7.6780758556891773E-2</v>
      </c>
      <c r="AK314" s="730">
        <v>18</v>
      </c>
      <c r="AL314" s="736">
        <v>40347</v>
      </c>
      <c r="AM314" s="729">
        <v>16</v>
      </c>
      <c r="AN314" s="737">
        <v>0.38500000000000001</v>
      </c>
      <c r="AO314" s="729">
        <v>8</v>
      </c>
      <c r="AP314" s="728">
        <v>3.5000000000000003E-2</v>
      </c>
      <c r="AQ314" s="738">
        <v>18</v>
      </c>
      <c r="AR314" s="728">
        <v>0.77300000000000002</v>
      </c>
      <c r="AS314" s="729">
        <v>9</v>
      </c>
      <c r="AT314" s="728">
        <v>5.5E-2</v>
      </c>
      <c r="AU314" s="730">
        <v>5</v>
      </c>
      <c r="AV314" s="731">
        <v>0.23600000000000002</v>
      </c>
      <c r="AW314" s="730">
        <v>7</v>
      </c>
      <c r="AX314" s="728">
        <v>0.14599999999999999</v>
      </c>
      <c r="AY314" s="730">
        <v>8</v>
      </c>
      <c r="AZ314" s="728">
        <v>0.10199999999999999</v>
      </c>
      <c r="BA314" s="730">
        <v>7</v>
      </c>
      <c r="BB314" s="733">
        <v>5.9000000000000004E-2</v>
      </c>
      <c r="BC314" s="730">
        <v>2</v>
      </c>
      <c r="BD314" s="6"/>
    </row>
    <row r="315" spans="7:56" s="704" customFormat="1" ht="15">
      <c r="G315" s="1546"/>
      <c r="W315" s="6"/>
      <c r="X315" s="87"/>
      <c r="Y315" s="87"/>
      <c r="Z315" s="739"/>
      <c r="AA315" s="739"/>
      <c r="AB315" s="743"/>
      <c r="AC315" s="108"/>
      <c r="AD315" s="108"/>
      <c r="AE315" s="770" t="s">
        <v>1195</v>
      </c>
      <c r="AF315" s="771" t="s">
        <v>653</v>
      </c>
      <c r="AG315" s="108"/>
      <c r="AH315" s="454" t="s">
        <v>445</v>
      </c>
      <c r="AI315" s="455">
        <v>9548.02</v>
      </c>
      <c r="AJ315" s="735">
        <v>7.6780758556891773E-2</v>
      </c>
      <c r="AK315" s="730">
        <v>18</v>
      </c>
      <c r="AL315" s="736">
        <v>40347</v>
      </c>
      <c r="AM315" s="729">
        <v>16</v>
      </c>
      <c r="AN315" s="737">
        <v>0.38500000000000001</v>
      </c>
      <c r="AO315" s="729">
        <v>8</v>
      </c>
      <c r="AP315" s="728">
        <v>3.5000000000000003E-2</v>
      </c>
      <c r="AQ315" s="738">
        <v>18</v>
      </c>
      <c r="AR315" s="728">
        <v>0.81599999999999995</v>
      </c>
      <c r="AS315" s="729">
        <v>9</v>
      </c>
      <c r="AT315" s="728">
        <v>6.000000000000001E-3</v>
      </c>
      <c r="AU315" s="730">
        <v>10</v>
      </c>
      <c r="AV315" s="731">
        <v>0.16200000000000001</v>
      </c>
      <c r="AW315" s="730">
        <v>8</v>
      </c>
      <c r="AX315" s="728">
        <v>0.14499999999999999</v>
      </c>
      <c r="AY315" s="730">
        <v>8</v>
      </c>
      <c r="AZ315" s="728">
        <v>3.7999999999999999E-2</v>
      </c>
      <c r="BA315" s="730">
        <v>9</v>
      </c>
      <c r="BB315" s="733">
        <v>0.12300000000000001</v>
      </c>
      <c r="BC315" s="730">
        <v>4</v>
      </c>
      <c r="BD315" s="6"/>
    </row>
    <row r="316" spans="7:56" s="704" customFormat="1" ht="15">
      <c r="G316" s="1546"/>
      <c r="W316" s="6"/>
      <c r="X316" s="87"/>
      <c r="Y316" s="87"/>
      <c r="Z316" s="739"/>
      <c r="AA316" s="739"/>
      <c r="AB316" s="743"/>
      <c r="AC316" s="108"/>
      <c r="AD316" s="108"/>
      <c r="AE316" s="770" t="s">
        <v>1196</v>
      </c>
      <c r="AF316" s="771" t="s">
        <v>652</v>
      </c>
      <c r="AG316" s="108"/>
      <c r="AH316" s="454" t="s">
        <v>445</v>
      </c>
      <c r="AI316" s="455">
        <v>9549</v>
      </c>
      <c r="AJ316" s="735">
        <v>7.6780758556891773E-2</v>
      </c>
      <c r="AK316" s="730">
        <v>18</v>
      </c>
      <c r="AL316" s="736">
        <v>40347</v>
      </c>
      <c r="AM316" s="729">
        <v>16</v>
      </c>
      <c r="AN316" s="737">
        <v>0.38500000000000001</v>
      </c>
      <c r="AO316" s="729">
        <v>8</v>
      </c>
      <c r="AP316" s="728">
        <v>3.5000000000000003E-2</v>
      </c>
      <c r="AQ316" s="738">
        <v>18</v>
      </c>
      <c r="AR316" s="728">
        <v>0.84799999999999998</v>
      </c>
      <c r="AS316" s="729">
        <v>9</v>
      </c>
      <c r="AT316" s="728">
        <v>1E-3</v>
      </c>
      <c r="AU316" s="730">
        <v>10</v>
      </c>
      <c r="AV316" s="731">
        <v>0.161</v>
      </c>
      <c r="AW316" s="730">
        <v>8</v>
      </c>
      <c r="AX316" s="728">
        <v>0.19</v>
      </c>
      <c r="AY316" s="730">
        <v>7</v>
      </c>
      <c r="AZ316" s="728">
        <v>4.2000000000000003E-2</v>
      </c>
      <c r="BA316" s="730">
        <v>9</v>
      </c>
      <c r="BB316" s="733">
        <v>9.6000000000000002E-2</v>
      </c>
      <c r="BC316" s="730">
        <v>3</v>
      </c>
      <c r="BD316" s="6"/>
    </row>
    <row r="317" spans="7:56" s="704" customFormat="1" ht="15">
      <c r="G317" s="1546"/>
      <c r="W317" s="6"/>
      <c r="X317" s="87"/>
      <c r="Y317" s="87"/>
      <c r="Z317" s="739"/>
      <c r="AA317" s="739"/>
      <c r="AB317" s="743"/>
      <c r="AC317" s="108"/>
      <c r="AD317" s="108"/>
      <c r="AE317" s="770" t="s">
        <v>1197</v>
      </c>
      <c r="AF317" s="771" t="s">
        <v>653</v>
      </c>
      <c r="AG317" s="108"/>
      <c r="AH317" s="454" t="s">
        <v>445</v>
      </c>
      <c r="AI317" s="455">
        <v>9550</v>
      </c>
      <c r="AJ317" s="735">
        <v>7.6780758556891773E-2</v>
      </c>
      <c r="AK317" s="730">
        <v>18</v>
      </c>
      <c r="AL317" s="736">
        <v>40347</v>
      </c>
      <c r="AM317" s="729">
        <v>16</v>
      </c>
      <c r="AN317" s="737">
        <v>0.38500000000000001</v>
      </c>
      <c r="AO317" s="729">
        <v>8</v>
      </c>
      <c r="AP317" s="728">
        <v>3.5000000000000003E-2</v>
      </c>
      <c r="AQ317" s="738">
        <v>18</v>
      </c>
      <c r="AR317" s="728">
        <v>0.72400000000000009</v>
      </c>
      <c r="AS317" s="729">
        <v>8</v>
      </c>
      <c r="AT317" s="728">
        <v>1.6E-2</v>
      </c>
      <c r="AU317" s="730">
        <v>9</v>
      </c>
      <c r="AV317" s="731">
        <v>0.183</v>
      </c>
      <c r="AW317" s="730">
        <v>8</v>
      </c>
      <c r="AX317" s="728">
        <v>0.21299999999999999</v>
      </c>
      <c r="AY317" s="730">
        <v>7</v>
      </c>
      <c r="AZ317" s="728">
        <v>0.06</v>
      </c>
      <c r="BA317" s="730">
        <v>8</v>
      </c>
      <c r="BB317" s="733">
        <v>6.8000000000000005E-2</v>
      </c>
      <c r="BC317" s="730">
        <v>2</v>
      </c>
      <c r="BD317" s="6"/>
    </row>
    <row r="318" spans="7:56" s="704" customFormat="1" ht="15">
      <c r="G318" s="1546"/>
      <c r="W318" s="6"/>
      <c r="X318" s="87"/>
      <c r="Y318" s="87"/>
      <c r="Z318" s="739"/>
      <c r="AA318" s="739"/>
      <c r="AB318" s="743"/>
      <c r="AC318" s="108"/>
      <c r="AD318" s="108"/>
      <c r="AE318" s="770" t="s">
        <v>1198</v>
      </c>
      <c r="AF318" s="771" t="s">
        <v>1450</v>
      </c>
      <c r="AG318" s="108"/>
      <c r="AH318" s="454" t="s">
        <v>445</v>
      </c>
      <c r="AI318" s="455">
        <v>9551.01</v>
      </c>
      <c r="AJ318" s="735">
        <v>7.6780758556891773E-2</v>
      </c>
      <c r="AK318" s="730">
        <v>18</v>
      </c>
      <c r="AL318" s="736">
        <v>40347</v>
      </c>
      <c r="AM318" s="729">
        <v>16</v>
      </c>
      <c r="AN318" s="737">
        <v>0.38500000000000001</v>
      </c>
      <c r="AO318" s="729">
        <v>8</v>
      </c>
      <c r="AP318" s="728">
        <v>3.5000000000000003E-2</v>
      </c>
      <c r="AQ318" s="738">
        <v>18</v>
      </c>
      <c r="AR318" s="728">
        <v>0.84400000000000008</v>
      </c>
      <c r="AS318" s="729">
        <v>9</v>
      </c>
      <c r="AT318" s="728">
        <v>2.3E-2</v>
      </c>
      <c r="AU318" s="730">
        <v>8</v>
      </c>
      <c r="AV318" s="731">
        <v>0.19399999999999998</v>
      </c>
      <c r="AW318" s="730">
        <v>8</v>
      </c>
      <c r="AX318" s="728">
        <v>0.14199999999999999</v>
      </c>
      <c r="AY318" s="730">
        <v>8</v>
      </c>
      <c r="AZ318" s="728">
        <v>9.6000000000000002E-2</v>
      </c>
      <c r="BA318" s="730">
        <v>7</v>
      </c>
      <c r="BB318" s="733">
        <v>4.9000000000000002E-2</v>
      </c>
      <c r="BC318" s="730">
        <v>2</v>
      </c>
      <c r="BD318" s="6"/>
    </row>
    <row r="319" spans="7:56" s="704" customFormat="1" ht="15">
      <c r="G319" s="1546"/>
      <c r="W319" s="6"/>
      <c r="X319" s="87"/>
      <c r="Y319" s="87"/>
      <c r="Z319" s="739"/>
      <c r="AA319" s="739"/>
      <c r="AB319" s="743"/>
      <c r="AC319" s="108"/>
      <c r="AD319" s="108"/>
      <c r="AE319" s="770" t="s">
        <v>1199</v>
      </c>
      <c r="AF319" s="771" t="s">
        <v>1450</v>
      </c>
      <c r="AG319" s="108"/>
      <c r="AH319" s="454" t="s">
        <v>445</v>
      </c>
      <c r="AI319" s="455">
        <v>9551.02</v>
      </c>
      <c r="AJ319" s="735">
        <v>7.6780758556891773E-2</v>
      </c>
      <c r="AK319" s="730">
        <v>18</v>
      </c>
      <c r="AL319" s="736">
        <v>40347</v>
      </c>
      <c r="AM319" s="729">
        <v>16</v>
      </c>
      <c r="AN319" s="737">
        <v>0.38500000000000001</v>
      </c>
      <c r="AO319" s="729">
        <v>8</v>
      </c>
      <c r="AP319" s="728">
        <v>3.5000000000000003E-2</v>
      </c>
      <c r="AQ319" s="738">
        <v>18</v>
      </c>
      <c r="AR319" s="728">
        <v>0.78500000000000003</v>
      </c>
      <c r="AS319" s="729">
        <v>9</v>
      </c>
      <c r="AT319" s="728">
        <v>2.4E-2</v>
      </c>
      <c r="AU319" s="730">
        <v>8</v>
      </c>
      <c r="AV319" s="731">
        <v>0.161</v>
      </c>
      <c r="AW319" s="730">
        <v>8</v>
      </c>
      <c r="AX319" s="728">
        <v>0.158</v>
      </c>
      <c r="AY319" s="730">
        <v>8</v>
      </c>
      <c r="AZ319" s="728">
        <v>6.4000000000000001E-2</v>
      </c>
      <c r="BA319" s="730">
        <v>8</v>
      </c>
      <c r="BB319" s="733">
        <v>8.5000000000000006E-2</v>
      </c>
      <c r="BC319" s="730">
        <v>3</v>
      </c>
      <c r="BD319" s="6"/>
    </row>
    <row r="320" spans="7:56" s="704" customFormat="1" ht="15">
      <c r="G320" s="1546"/>
      <c r="W320" s="6"/>
      <c r="X320" s="87"/>
      <c r="Y320" s="87"/>
      <c r="Z320" s="739"/>
      <c r="AA320" s="739"/>
      <c r="AB320" s="743"/>
      <c r="AC320" s="108"/>
      <c r="AD320" s="108"/>
      <c r="AE320" s="770" t="s">
        <v>1200</v>
      </c>
      <c r="AF320" s="771" t="s">
        <v>653</v>
      </c>
      <c r="AG320" s="108"/>
      <c r="AH320" s="454" t="s">
        <v>446</v>
      </c>
      <c r="AI320" s="455">
        <v>9536</v>
      </c>
      <c r="AJ320" s="724">
        <v>6.3482086737900692E-2</v>
      </c>
      <c r="AK320" s="725">
        <v>18</v>
      </c>
      <c r="AL320" s="726">
        <v>26547</v>
      </c>
      <c r="AM320" s="725">
        <v>20</v>
      </c>
      <c r="AN320" s="727">
        <v>0.67599999999999993</v>
      </c>
      <c r="AO320" s="725">
        <v>20</v>
      </c>
      <c r="AP320" s="727">
        <v>6.9000000000000006E-2</v>
      </c>
      <c r="AQ320" s="725">
        <v>14</v>
      </c>
      <c r="AR320" s="728">
        <v>0.68599999999999994</v>
      </c>
      <c r="AS320" s="729">
        <v>8</v>
      </c>
      <c r="AT320" s="728">
        <v>0</v>
      </c>
      <c r="AU320" s="730">
        <v>10</v>
      </c>
      <c r="AV320" s="731">
        <v>0.36</v>
      </c>
      <c r="AW320" s="730">
        <v>6</v>
      </c>
      <c r="AX320" s="728">
        <v>0.33</v>
      </c>
      <c r="AY320" s="730">
        <v>5</v>
      </c>
      <c r="AZ320" s="728">
        <v>0.115</v>
      </c>
      <c r="BA320" s="730">
        <v>7</v>
      </c>
      <c r="BB320" s="733">
        <v>0.03</v>
      </c>
      <c r="BC320" s="730">
        <v>1</v>
      </c>
      <c r="BD320" s="6"/>
    </row>
    <row r="321" spans="7:56" s="704" customFormat="1" ht="15">
      <c r="G321" s="1546"/>
      <c r="W321" s="6"/>
      <c r="X321" s="87"/>
      <c r="Y321" s="87"/>
      <c r="Z321" s="739"/>
      <c r="AA321" s="739"/>
      <c r="AB321" s="743"/>
      <c r="AC321" s="108"/>
      <c r="AD321" s="108"/>
      <c r="AE321" s="770" t="s">
        <v>1201</v>
      </c>
      <c r="AF321" s="771" t="s">
        <v>653</v>
      </c>
      <c r="AG321" s="108"/>
      <c r="AH321" s="454" t="s">
        <v>446</v>
      </c>
      <c r="AI321" s="455">
        <v>9538</v>
      </c>
      <c r="AJ321" s="724">
        <v>6.3482086737900692E-2</v>
      </c>
      <c r="AK321" s="725">
        <v>18</v>
      </c>
      <c r="AL321" s="726">
        <v>26547</v>
      </c>
      <c r="AM321" s="725">
        <v>20</v>
      </c>
      <c r="AN321" s="727">
        <v>0.67599999999999993</v>
      </c>
      <c r="AO321" s="725">
        <v>20</v>
      </c>
      <c r="AP321" s="727">
        <v>6.9000000000000006E-2</v>
      </c>
      <c r="AQ321" s="725">
        <v>14</v>
      </c>
      <c r="AR321" s="728">
        <v>0.80599999999999994</v>
      </c>
      <c r="AS321" s="729">
        <v>9</v>
      </c>
      <c r="AT321" s="728">
        <v>1.2E-2</v>
      </c>
      <c r="AU321" s="730">
        <v>9</v>
      </c>
      <c r="AV321" s="731">
        <v>0.317</v>
      </c>
      <c r="AW321" s="730">
        <v>6</v>
      </c>
      <c r="AX321" s="728">
        <v>0.33899999999999997</v>
      </c>
      <c r="AY321" s="730">
        <v>5</v>
      </c>
      <c r="AZ321" s="728">
        <v>4.9000000000000002E-2</v>
      </c>
      <c r="BA321" s="730">
        <v>9</v>
      </c>
      <c r="BB321" s="733">
        <v>2.4E-2</v>
      </c>
      <c r="BC321" s="730">
        <v>1</v>
      </c>
      <c r="BD321" s="6"/>
    </row>
    <row r="322" spans="7:56" s="704" customFormat="1" ht="15">
      <c r="G322" s="1546"/>
      <c r="W322" s="6"/>
      <c r="X322" s="87"/>
      <c r="Y322" s="87"/>
      <c r="Z322" s="739"/>
      <c r="AA322" s="739"/>
      <c r="AB322" s="743"/>
      <c r="AC322" s="108"/>
      <c r="AD322" s="108"/>
      <c r="AE322" s="770" t="s">
        <v>1202</v>
      </c>
      <c r="AF322" s="771" t="s">
        <v>1450</v>
      </c>
      <c r="AG322" s="108"/>
      <c r="AH322" s="454" t="s">
        <v>446</v>
      </c>
      <c r="AI322" s="455">
        <v>9539</v>
      </c>
      <c r="AJ322" s="724">
        <v>6.3482086737900692E-2</v>
      </c>
      <c r="AK322" s="725">
        <v>18</v>
      </c>
      <c r="AL322" s="726">
        <v>26547</v>
      </c>
      <c r="AM322" s="725">
        <v>20</v>
      </c>
      <c r="AN322" s="727">
        <v>0.67599999999999993</v>
      </c>
      <c r="AO322" s="725">
        <v>20</v>
      </c>
      <c r="AP322" s="727">
        <v>6.9000000000000006E-2</v>
      </c>
      <c r="AQ322" s="725">
        <v>14</v>
      </c>
      <c r="AR322" s="728">
        <v>0.88300000000000001</v>
      </c>
      <c r="AS322" s="729">
        <v>10</v>
      </c>
      <c r="AT322" s="728">
        <v>0</v>
      </c>
      <c r="AU322" s="730">
        <v>10</v>
      </c>
      <c r="AV322" s="731">
        <v>0.504</v>
      </c>
      <c r="AW322" s="730">
        <v>4</v>
      </c>
      <c r="AX322" s="728">
        <v>0.379</v>
      </c>
      <c r="AY322" s="730">
        <v>4</v>
      </c>
      <c r="AZ322" s="728">
        <v>0.106</v>
      </c>
      <c r="BA322" s="730">
        <v>7</v>
      </c>
      <c r="BB322" s="733">
        <v>0</v>
      </c>
      <c r="BC322" s="730">
        <v>1</v>
      </c>
      <c r="BD322" s="6"/>
    </row>
    <row r="323" spans="7:56" s="704" customFormat="1" ht="15">
      <c r="G323" s="1546"/>
      <c r="W323" s="6"/>
      <c r="X323" s="87"/>
      <c r="Y323" s="87"/>
      <c r="Z323" s="739"/>
      <c r="AA323" s="739"/>
      <c r="AB323" s="743"/>
      <c r="AC323" s="108"/>
      <c r="AD323" s="108"/>
      <c r="AE323" s="770" t="s">
        <v>1203</v>
      </c>
      <c r="AF323" s="771" t="s">
        <v>652</v>
      </c>
      <c r="AG323" s="108"/>
      <c r="AH323" s="454" t="s">
        <v>446</v>
      </c>
      <c r="AI323" s="455">
        <v>9540</v>
      </c>
      <c r="AJ323" s="724">
        <v>6.3482086737900692E-2</v>
      </c>
      <c r="AK323" s="725">
        <v>18</v>
      </c>
      <c r="AL323" s="726">
        <v>26547</v>
      </c>
      <c r="AM323" s="725">
        <v>20</v>
      </c>
      <c r="AN323" s="727">
        <v>0.67599999999999993</v>
      </c>
      <c r="AO323" s="725">
        <v>20</v>
      </c>
      <c r="AP323" s="727">
        <v>6.9000000000000006E-2</v>
      </c>
      <c r="AQ323" s="725">
        <v>14</v>
      </c>
      <c r="AR323" s="728">
        <v>0.79200000000000004</v>
      </c>
      <c r="AS323" s="729">
        <v>9</v>
      </c>
      <c r="AT323" s="728">
        <v>0</v>
      </c>
      <c r="AU323" s="730">
        <v>10</v>
      </c>
      <c r="AV323" s="731">
        <v>0.28600000000000003</v>
      </c>
      <c r="AW323" s="730">
        <v>7</v>
      </c>
      <c r="AX323" s="728">
        <v>0.38100000000000001</v>
      </c>
      <c r="AY323" s="730">
        <v>4</v>
      </c>
      <c r="AZ323" s="728">
        <v>0.13900000000000001</v>
      </c>
      <c r="BA323" s="730">
        <v>6</v>
      </c>
      <c r="BB323" s="733">
        <v>5.2999999999999999E-2</v>
      </c>
      <c r="BC323" s="730">
        <v>2</v>
      </c>
      <c r="BD323" s="6"/>
    </row>
    <row r="324" spans="7:56" s="704" customFormat="1" ht="15">
      <c r="G324" s="1546"/>
      <c r="W324" s="6"/>
      <c r="X324" s="87"/>
      <c r="Y324" s="87"/>
      <c r="Z324" s="739"/>
      <c r="AA324" s="739"/>
      <c r="AB324" s="743"/>
      <c r="AC324" s="108"/>
      <c r="AD324" s="108"/>
      <c r="AE324" s="770" t="s">
        <v>1204</v>
      </c>
      <c r="AF324" s="771" t="s">
        <v>653</v>
      </c>
      <c r="AG324" s="108"/>
      <c r="AH324" s="454" t="s">
        <v>446</v>
      </c>
      <c r="AI324" s="455">
        <v>9542</v>
      </c>
      <c r="AJ324" s="724">
        <v>6.3482086737900692E-2</v>
      </c>
      <c r="AK324" s="725">
        <v>18</v>
      </c>
      <c r="AL324" s="726">
        <v>26547</v>
      </c>
      <c r="AM324" s="725">
        <v>20</v>
      </c>
      <c r="AN324" s="727">
        <v>0.67599999999999993</v>
      </c>
      <c r="AO324" s="725">
        <v>20</v>
      </c>
      <c r="AP324" s="727">
        <v>6.9000000000000006E-2</v>
      </c>
      <c r="AQ324" s="725">
        <v>14</v>
      </c>
      <c r="AR324" s="728">
        <v>0.81900000000000006</v>
      </c>
      <c r="AS324" s="729">
        <v>9</v>
      </c>
      <c r="AT324" s="728">
        <v>0.11</v>
      </c>
      <c r="AU324" s="730">
        <v>1</v>
      </c>
      <c r="AV324" s="731">
        <v>0.47100000000000003</v>
      </c>
      <c r="AW324" s="730">
        <v>4</v>
      </c>
      <c r="AX324" s="728">
        <v>0.38600000000000001</v>
      </c>
      <c r="AY324" s="730">
        <v>4</v>
      </c>
      <c r="AZ324" s="728">
        <v>0.188</v>
      </c>
      <c r="BA324" s="730">
        <v>4</v>
      </c>
      <c r="BB324" s="733">
        <v>2.5000000000000001E-2</v>
      </c>
      <c r="BC324" s="730">
        <v>1</v>
      </c>
      <c r="BD324" s="6"/>
    </row>
    <row r="325" spans="7:56" s="704" customFormat="1" ht="15">
      <c r="G325" s="1546"/>
      <c r="W325" s="6"/>
      <c r="X325" s="87"/>
      <c r="Y325" s="87"/>
      <c r="Z325" s="739"/>
      <c r="AA325" s="739"/>
      <c r="AB325" s="743"/>
      <c r="AC325" s="108"/>
      <c r="AD325" s="108"/>
      <c r="AE325" s="770" t="s">
        <v>2558</v>
      </c>
      <c r="AF325" s="771" t="s">
        <v>1450</v>
      </c>
      <c r="AG325" s="108"/>
      <c r="AH325" s="454" t="s">
        <v>446</v>
      </c>
      <c r="AI325" s="455">
        <v>9545.01</v>
      </c>
      <c r="AJ325" s="724">
        <v>6.3482086737900692E-2</v>
      </c>
      <c r="AK325" s="725">
        <v>18</v>
      </c>
      <c r="AL325" s="726">
        <v>26547</v>
      </c>
      <c r="AM325" s="725">
        <v>20</v>
      </c>
      <c r="AN325" s="727">
        <v>0.67599999999999993</v>
      </c>
      <c r="AO325" s="725">
        <v>20</v>
      </c>
      <c r="AP325" s="727">
        <v>6.9000000000000006E-2</v>
      </c>
      <c r="AQ325" s="725">
        <v>14</v>
      </c>
      <c r="AR325" s="728">
        <v>0.81499999999999995</v>
      </c>
      <c r="AS325" s="729">
        <v>9</v>
      </c>
      <c r="AT325" s="728">
        <v>1.4999999999999999E-2</v>
      </c>
      <c r="AU325" s="730">
        <v>9</v>
      </c>
      <c r="AV325" s="731">
        <v>0.20600000000000002</v>
      </c>
      <c r="AW325" s="730">
        <v>8</v>
      </c>
      <c r="AX325" s="728">
        <v>0.16699999999999998</v>
      </c>
      <c r="AY325" s="730">
        <v>8</v>
      </c>
      <c r="AZ325" s="728">
        <v>0.16200000000000001</v>
      </c>
      <c r="BA325" s="730">
        <v>5</v>
      </c>
      <c r="BB325" s="733">
        <v>7.2000000000000008E-2</v>
      </c>
      <c r="BC325" s="730">
        <v>2</v>
      </c>
      <c r="BD325" s="6"/>
    </row>
    <row r="326" spans="7:56" s="704" customFormat="1" ht="15">
      <c r="G326" s="1546"/>
      <c r="W326" s="6"/>
      <c r="X326" s="87"/>
      <c r="Y326" s="87"/>
      <c r="Z326" s="739"/>
      <c r="AA326" s="739"/>
      <c r="AB326" s="743"/>
      <c r="AC326" s="108"/>
      <c r="AD326" s="108"/>
      <c r="AE326" s="770" t="s">
        <v>1205</v>
      </c>
      <c r="AF326" s="771" t="s">
        <v>1450</v>
      </c>
      <c r="AG326" s="108"/>
      <c r="AH326" s="454" t="s">
        <v>446</v>
      </c>
      <c r="AI326" s="455">
        <v>9545.0300000000007</v>
      </c>
      <c r="AJ326" s="724">
        <v>6.3482086737900692E-2</v>
      </c>
      <c r="AK326" s="725">
        <v>18</v>
      </c>
      <c r="AL326" s="726">
        <v>26547</v>
      </c>
      <c r="AM326" s="725">
        <v>20</v>
      </c>
      <c r="AN326" s="727">
        <v>0.67599999999999993</v>
      </c>
      <c r="AO326" s="725">
        <v>20</v>
      </c>
      <c r="AP326" s="727">
        <v>6.9000000000000006E-2</v>
      </c>
      <c r="AQ326" s="725">
        <v>14</v>
      </c>
      <c r="AR326" s="728">
        <v>0.71</v>
      </c>
      <c r="AS326" s="729">
        <v>8</v>
      </c>
      <c r="AT326" s="728">
        <v>1.7000000000000001E-2</v>
      </c>
      <c r="AU326" s="730">
        <v>9</v>
      </c>
      <c r="AV326" s="731">
        <v>0.28499999999999998</v>
      </c>
      <c r="AW326" s="730">
        <v>7</v>
      </c>
      <c r="AX326" s="728">
        <v>0.32299999999999995</v>
      </c>
      <c r="AY326" s="730">
        <v>5</v>
      </c>
      <c r="AZ326" s="728">
        <v>0.08</v>
      </c>
      <c r="BA326" s="730">
        <v>8</v>
      </c>
      <c r="BB326" s="733">
        <v>4.4999999999999998E-2</v>
      </c>
      <c r="BC326" s="730">
        <v>2</v>
      </c>
      <c r="BD326" s="6"/>
    </row>
    <row r="327" spans="7:56" s="704" customFormat="1" ht="15">
      <c r="G327" s="1546"/>
      <c r="W327" s="6"/>
      <c r="X327" s="87"/>
      <c r="Y327" s="87"/>
      <c r="Z327" s="739"/>
      <c r="AA327" s="739"/>
      <c r="AB327" s="743"/>
      <c r="AC327" s="108"/>
      <c r="AD327" s="108"/>
      <c r="AE327" s="770" t="s">
        <v>1756</v>
      </c>
      <c r="AF327" s="771" t="s">
        <v>653</v>
      </c>
      <c r="AG327" s="108"/>
      <c r="AH327" s="454" t="s">
        <v>446</v>
      </c>
      <c r="AI327" s="455">
        <v>9545.0400000000009</v>
      </c>
      <c r="AJ327" s="724">
        <v>6.3482086737900692E-2</v>
      </c>
      <c r="AK327" s="725">
        <v>18</v>
      </c>
      <c r="AL327" s="726">
        <v>26547</v>
      </c>
      <c r="AM327" s="725">
        <v>20</v>
      </c>
      <c r="AN327" s="727">
        <v>0.67599999999999993</v>
      </c>
      <c r="AO327" s="725">
        <v>20</v>
      </c>
      <c r="AP327" s="727">
        <v>6.9000000000000006E-2</v>
      </c>
      <c r="AQ327" s="725">
        <v>14</v>
      </c>
      <c r="AR327" s="728">
        <v>0.81499999999999995</v>
      </c>
      <c r="AS327" s="729">
        <v>9</v>
      </c>
      <c r="AT327" s="728">
        <v>3.0000000000000001E-3</v>
      </c>
      <c r="AU327" s="730">
        <v>10</v>
      </c>
      <c r="AV327" s="731">
        <v>0.315</v>
      </c>
      <c r="AW327" s="730">
        <v>6</v>
      </c>
      <c r="AX327" s="728">
        <v>0.313</v>
      </c>
      <c r="AY327" s="730">
        <v>5</v>
      </c>
      <c r="AZ327" s="728">
        <v>2.8999999999999998E-2</v>
      </c>
      <c r="BA327" s="730">
        <v>9</v>
      </c>
      <c r="BB327" s="733">
        <v>4.0000000000000001E-3</v>
      </c>
      <c r="BC327" s="730">
        <v>1</v>
      </c>
      <c r="BD327" s="6"/>
    </row>
    <row r="328" spans="7:56" s="704" customFormat="1" ht="15">
      <c r="G328" s="1546"/>
      <c r="W328" s="6"/>
      <c r="X328" s="87"/>
      <c r="Y328" s="87"/>
      <c r="Z328" s="739"/>
      <c r="AA328" s="739"/>
      <c r="AB328" s="743"/>
      <c r="AC328" s="108"/>
      <c r="AD328" s="108"/>
      <c r="AE328" s="770" t="s">
        <v>1757</v>
      </c>
      <c r="AF328" s="771" t="s">
        <v>653</v>
      </c>
      <c r="AG328" s="108"/>
      <c r="AH328" s="454" t="s">
        <v>447</v>
      </c>
      <c r="AI328" s="455">
        <v>9</v>
      </c>
      <c r="AJ328" s="724">
        <v>6.6611157368859281E-2</v>
      </c>
      <c r="AK328" s="725">
        <v>18</v>
      </c>
      <c r="AL328" s="726">
        <v>39372</v>
      </c>
      <c r="AM328" s="725">
        <v>16</v>
      </c>
      <c r="AN328" s="727">
        <v>0.49599999999999994</v>
      </c>
      <c r="AO328" s="725">
        <v>12</v>
      </c>
      <c r="AP328" s="727">
        <v>9.1999999999999998E-2</v>
      </c>
      <c r="AQ328" s="725">
        <v>12</v>
      </c>
      <c r="AR328" s="728">
        <v>0.83099999999999996</v>
      </c>
      <c r="AS328" s="729">
        <v>9</v>
      </c>
      <c r="AT328" s="728">
        <v>1.8000000000000002E-2</v>
      </c>
      <c r="AU328" s="730">
        <v>9</v>
      </c>
      <c r="AV328" s="731">
        <v>0.13699999999999998</v>
      </c>
      <c r="AW328" s="730">
        <v>9</v>
      </c>
      <c r="AX328" s="728">
        <v>0.21</v>
      </c>
      <c r="AY328" s="730">
        <v>7</v>
      </c>
      <c r="AZ328" s="728">
        <v>2.2000000000000002E-2</v>
      </c>
      <c r="BA328" s="730">
        <v>10</v>
      </c>
      <c r="BB328" s="733">
        <v>8.6999999999999994E-2</v>
      </c>
      <c r="BC328" s="730">
        <v>3</v>
      </c>
      <c r="BD328" s="6"/>
    </row>
    <row r="329" spans="7:56" s="704" customFormat="1" ht="15">
      <c r="G329" s="1546"/>
      <c r="W329" s="6"/>
      <c r="X329" s="87"/>
      <c r="Y329" s="87"/>
      <c r="Z329" s="739"/>
      <c r="AA329" s="739"/>
      <c r="AB329" s="743"/>
      <c r="AC329" s="108"/>
      <c r="AD329" s="108"/>
      <c r="AE329" s="770" t="s">
        <v>1206</v>
      </c>
      <c r="AF329" s="771" t="s">
        <v>1450</v>
      </c>
      <c r="AG329" s="108"/>
      <c r="AH329" s="454" t="s">
        <v>447</v>
      </c>
      <c r="AI329" s="455">
        <v>10</v>
      </c>
      <c r="AJ329" s="724">
        <v>6.6611157368859281E-2</v>
      </c>
      <c r="AK329" s="725">
        <v>18</v>
      </c>
      <c r="AL329" s="726">
        <v>39372</v>
      </c>
      <c r="AM329" s="725">
        <v>16</v>
      </c>
      <c r="AN329" s="727">
        <v>0.49599999999999994</v>
      </c>
      <c r="AO329" s="725">
        <v>12</v>
      </c>
      <c r="AP329" s="727">
        <v>9.1999999999999998E-2</v>
      </c>
      <c r="AQ329" s="725">
        <v>12</v>
      </c>
      <c r="AR329" s="728">
        <v>0.77</v>
      </c>
      <c r="AS329" s="729">
        <v>9</v>
      </c>
      <c r="AT329" s="728">
        <v>0</v>
      </c>
      <c r="AU329" s="730">
        <v>10</v>
      </c>
      <c r="AV329" s="731">
        <v>0.28600000000000003</v>
      </c>
      <c r="AW329" s="730">
        <v>7</v>
      </c>
      <c r="AX329" s="728">
        <v>0.23300000000000001</v>
      </c>
      <c r="AY329" s="730">
        <v>7</v>
      </c>
      <c r="AZ329" s="728">
        <v>2.5000000000000001E-2</v>
      </c>
      <c r="BA329" s="730">
        <v>10</v>
      </c>
      <c r="BB329" s="733">
        <v>5.9000000000000004E-2</v>
      </c>
      <c r="BC329" s="730">
        <v>2</v>
      </c>
      <c r="BD329" s="6"/>
    </row>
    <row r="330" spans="7:56" s="704" customFormat="1" ht="15">
      <c r="G330" s="1546"/>
      <c r="W330" s="6"/>
      <c r="X330" s="87"/>
      <c r="Y330" s="87"/>
      <c r="Z330" s="739"/>
      <c r="AA330" s="739"/>
      <c r="AB330" s="743"/>
      <c r="AC330" s="108"/>
      <c r="AD330" s="108"/>
      <c r="AE330" s="770" t="s">
        <v>1207</v>
      </c>
      <c r="AF330" s="771" t="s">
        <v>653</v>
      </c>
      <c r="AG330" s="108"/>
      <c r="AH330" s="454" t="s">
        <v>447</v>
      </c>
      <c r="AI330" s="455">
        <v>11</v>
      </c>
      <c r="AJ330" s="724">
        <v>6.6611157368859281E-2</v>
      </c>
      <c r="AK330" s="725">
        <v>18</v>
      </c>
      <c r="AL330" s="726">
        <v>39372</v>
      </c>
      <c r="AM330" s="725">
        <v>16</v>
      </c>
      <c r="AN330" s="727">
        <v>0.49599999999999994</v>
      </c>
      <c r="AO330" s="725">
        <v>12</v>
      </c>
      <c r="AP330" s="727">
        <v>9.1999999999999998E-2</v>
      </c>
      <c r="AQ330" s="725">
        <v>12</v>
      </c>
      <c r="AR330" s="728">
        <v>0.79099999999999993</v>
      </c>
      <c r="AS330" s="729">
        <v>9</v>
      </c>
      <c r="AT330" s="728">
        <v>0</v>
      </c>
      <c r="AU330" s="730">
        <v>10</v>
      </c>
      <c r="AV330" s="731">
        <v>0.14199999999999999</v>
      </c>
      <c r="AW330" s="730">
        <v>9</v>
      </c>
      <c r="AX330" s="728">
        <v>0.106</v>
      </c>
      <c r="AY330" s="730">
        <v>9</v>
      </c>
      <c r="AZ330" s="728">
        <v>0.04</v>
      </c>
      <c r="BA330" s="730">
        <v>9</v>
      </c>
      <c r="BB330" s="733">
        <v>0.19500000000000001</v>
      </c>
      <c r="BC330" s="730">
        <v>6</v>
      </c>
      <c r="BD330" s="6"/>
    </row>
    <row r="331" spans="7:56" s="704" customFormat="1" ht="15">
      <c r="G331" s="1546"/>
      <c r="W331" s="6"/>
      <c r="X331" s="87"/>
      <c r="Y331" s="87"/>
      <c r="Z331" s="739"/>
      <c r="AA331" s="739"/>
      <c r="AB331" s="743"/>
      <c r="AC331" s="108"/>
      <c r="AD331" s="108"/>
      <c r="AE331" s="770" t="s">
        <v>1758</v>
      </c>
      <c r="AF331" s="771" t="s">
        <v>653</v>
      </c>
      <c r="AG331" s="108"/>
      <c r="AH331" s="454" t="s">
        <v>447</v>
      </c>
      <c r="AI331" s="455">
        <v>12</v>
      </c>
      <c r="AJ331" s="724">
        <v>6.6611157368859281E-2</v>
      </c>
      <c r="AK331" s="725">
        <v>18</v>
      </c>
      <c r="AL331" s="726">
        <v>39372</v>
      </c>
      <c r="AM331" s="725">
        <v>16</v>
      </c>
      <c r="AN331" s="727">
        <v>0.49599999999999994</v>
      </c>
      <c r="AO331" s="725">
        <v>12</v>
      </c>
      <c r="AP331" s="727">
        <v>9.1999999999999998E-2</v>
      </c>
      <c r="AQ331" s="725">
        <v>12</v>
      </c>
      <c r="AR331" s="728">
        <v>0.67200000000000004</v>
      </c>
      <c r="AS331" s="729">
        <v>8</v>
      </c>
      <c r="AT331" s="728">
        <v>2.7999999999999997E-2</v>
      </c>
      <c r="AU331" s="730">
        <v>8</v>
      </c>
      <c r="AV331" s="731">
        <v>0.19</v>
      </c>
      <c r="AW331" s="730">
        <v>8</v>
      </c>
      <c r="AX331" s="728">
        <v>0.13500000000000001</v>
      </c>
      <c r="AY331" s="730">
        <v>8</v>
      </c>
      <c r="AZ331" s="728">
        <v>3.1E-2</v>
      </c>
      <c r="BA331" s="730">
        <v>9</v>
      </c>
      <c r="BB331" s="733">
        <v>0.20499999999999999</v>
      </c>
      <c r="BC331" s="730">
        <v>6</v>
      </c>
      <c r="BD331" s="6"/>
    </row>
    <row r="332" spans="7:56" s="704" customFormat="1" ht="15">
      <c r="G332" s="1546"/>
      <c r="W332" s="6"/>
      <c r="X332" s="87"/>
      <c r="Y332" s="87"/>
      <c r="Z332" s="739"/>
      <c r="AA332" s="739"/>
      <c r="AB332" s="743"/>
      <c r="AC332" s="108"/>
      <c r="AD332" s="108"/>
      <c r="AE332" s="770" t="s">
        <v>1759</v>
      </c>
      <c r="AF332" s="771" t="s">
        <v>651</v>
      </c>
      <c r="AG332" s="108"/>
      <c r="AH332" s="454" t="s">
        <v>447</v>
      </c>
      <c r="AI332" s="455">
        <v>13</v>
      </c>
      <c r="AJ332" s="724">
        <v>6.6611157368859281E-2</v>
      </c>
      <c r="AK332" s="725">
        <v>18</v>
      </c>
      <c r="AL332" s="726">
        <v>39372</v>
      </c>
      <c r="AM332" s="725">
        <v>16</v>
      </c>
      <c r="AN332" s="727">
        <v>0.49599999999999994</v>
      </c>
      <c r="AO332" s="725">
        <v>12</v>
      </c>
      <c r="AP332" s="727">
        <v>9.1999999999999998E-2</v>
      </c>
      <c r="AQ332" s="725">
        <v>12</v>
      </c>
      <c r="AR332" s="728">
        <v>0.54799999999999993</v>
      </c>
      <c r="AS332" s="729">
        <v>6</v>
      </c>
      <c r="AT332" s="728">
        <v>1.2E-2</v>
      </c>
      <c r="AU332" s="730">
        <v>9</v>
      </c>
      <c r="AV332" s="731">
        <v>0.254</v>
      </c>
      <c r="AW332" s="730">
        <v>7</v>
      </c>
      <c r="AX332" s="728">
        <v>0.27399999999999997</v>
      </c>
      <c r="AY332" s="730">
        <v>6</v>
      </c>
      <c r="AZ332" s="728">
        <v>7.400000000000001E-2</v>
      </c>
      <c r="BA332" s="730">
        <v>8</v>
      </c>
      <c r="BB332" s="733">
        <v>7.2999999999999995E-2</v>
      </c>
      <c r="BC332" s="730">
        <v>2</v>
      </c>
      <c r="BD332" s="6"/>
    </row>
    <row r="333" spans="7:56" s="704" customFormat="1" ht="15">
      <c r="G333" s="1546"/>
      <c r="W333" s="6"/>
      <c r="X333" s="87"/>
      <c r="Y333" s="87"/>
      <c r="Z333" s="739"/>
      <c r="AA333" s="739"/>
      <c r="AB333" s="743"/>
      <c r="AC333" s="108"/>
      <c r="AD333" s="108"/>
      <c r="AE333" s="770" t="s">
        <v>2789</v>
      </c>
      <c r="AF333" s="771" t="s">
        <v>1450</v>
      </c>
      <c r="AG333" s="108"/>
      <c r="AH333" s="454" t="s">
        <v>447</v>
      </c>
      <c r="AI333" s="455">
        <v>14</v>
      </c>
      <c r="AJ333" s="724">
        <v>6.6611157368859281E-2</v>
      </c>
      <c r="AK333" s="725">
        <v>18</v>
      </c>
      <c r="AL333" s="726">
        <v>39372</v>
      </c>
      <c r="AM333" s="725">
        <v>16</v>
      </c>
      <c r="AN333" s="727">
        <v>0.49599999999999994</v>
      </c>
      <c r="AO333" s="725">
        <v>12</v>
      </c>
      <c r="AP333" s="727">
        <v>9.1999999999999998E-2</v>
      </c>
      <c r="AQ333" s="725">
        <v>12</v>
      </c>
      <c r="AR333" s="728">
        <v>0.66099999999999992</v>
      </c>
      <c r="AS333" s="729">
        <v>7</v>
      </c>
      <c r="AT333" s="728">
        <v>1.3000000000000001E-2</v>
      </c>
      <c r="AU333" s="730">
        <v>9</v>
      </c>
      <c r="AV333" s="731">
        <v>0.248</v>
      </c>
      <c r="AW333" s="730">
        <v>7</v>
      </c>
      <c r="AX333" s="728">
        <v>0.18600000000000003</v>
      </c>
      <c r="AY333" s="730">
        <v>7</v>
      </c>
      <c r="AZ333" s="728">
        <v>6.9000000000000006E-2</v>
      </c>
      <c r="BA333" s="730">
        <v>8</v>
      </c>
      <c r="BB333" s="733">
        <v>0.13</v>
      </c>
      <c r="BC333" s="730">
        <v>4</v>
      </c>
      <c r="BD333" s="6"/>
    </row>
    <row r="334" spans="7:56" s="704" customFormat="1" ht="15">
      <c r="G334" s="1546"/>
      <c r="W334" s="6"/>
      <c r="X334" s="87"/>
      <c r="Y334" s="87"/>
      <c r="Z334" s="739"/>
      <c r="AA334" s="739"/>
      <c r="AB334" s="743"/>
      <c r="AC334" s="108"/>
      <c r="AD334" s="108"/>
      <c r="AE334" s="770" t="s">
        <v>1208</v>
      </c>
      <c r="AF334" s="771" t="s">
        <v>1450</v>
      </c>
      <c r="AG334" s="108"/>
      <c r="AH334" s="454" t="s">
        <v>447</v>
      </c>
      <c r="AI334" s="455">
        <v>15</v>
      </c>
      <c r="AJ334" s="724">
        <v>6.6611157368859281E-2</v>
      </c>
      <c r="AK334" s="725">
        <v>18</v>
      </c>
      <c r="AL334" s="726">
        <v>39372</v>
      </c>
      <c r="AM334" s="725">
        <v>16</v>
      </c>
      <c r="AN334" s="727">
        <v>0.49599999999999994</v>
      </c>
      <c r="AO334" s="725">
        <v>12</v>
      </c>
      <c r="AP334" s="727">
        <v>9.1999999999999998E-2</v>
      </c>
      <c r="AQ334" s="725">
        <v>12</v>
      </c>
      <c r="AR334" s="728">
        <v>0.755</v>
      </c>
      <c r="AS334" s="729">
        <v>8</v>
      </c>
      <c r="AT334" s="728">
        <v>6.9999999999999993E-3</v>
      </c>
      <c r="AU334" s="730">
        <v>10</v>
      </c>
      <c r="AV334" s="731">
        <v>0.20699999999999999</v>
      </c>
      <c r="AW334" s="730">
        <v>8</v>
      </c>
      <c r="AX334" s="728">
        <v>0.19</v>
      </c>
      <c r="AY334" s="730">
        <v>7</v>
      </c>
      <c r="AZ334" s="728">
        <v>2.5000000000000001E-2</v>
      </c>
      <c r="BA334" s="730">
        <v>10</v>
      </c>
      <c r="BB334" s="733">
        <v>0.16699999999999998</v>
      </c>
      <c r="BC334" s="730">
        <v>5</v>
      </c>
      <c r="BD334" s="6"/>
    </row>
    <row r="335" spans="7:56" s="704" customFormat="1" ht="15">
      <c r="G335" s="1546"/>
      <c r="W335" s="6"/>
      <c r="X335" s="87"/>
      <c r="Y335" s="87"/>
      <c r="Z335" s="739"/>
      <c r="AA335" s="739"/>
      <c r="AB335" s="743"/>
      <c r="AC335" s="108"/>
      <c r="AD335" s="108"/>
      <c r="AE335" s="770" t="s">
        <v>1209</v>
      </c>
      <c r="AF335" s="771" t="s">
        <v>1450</v>
      </c>
      <c r="AG335" s="108"/>
      <c r="AH335" s="454" t="s">
        <v>447</v>
      </c>
      <c r="AI335" s="455">
        <v>16</v>
      </c>
      <c r="AJ335" s="724">
        <v>6.6611157368859281E-2</v>
      </c>
      <c r="AK335" s="725">
        <v>18</v>
      </c>
      <c r="AL335" s="726">
        <v>39372</v>
      </c>
      <c r="AM335" s="725">
        <v>16</v>
      </c>
      <c r="AN335" s="727">
        <v>0.49599999999999994</v>
      </c>
      <c r="AO335" s="725">
        <v>12</v>
      </c>
      <c r="AP335" s="727">
        <v>9.1999999999999998E-2</v>
      </c>
      <c r="AQ335" s="725">
        <v>12</v>
      </c>
      <c r="AR335" s="728">
        <v>0.86099999999999999</v>
      </c>
      <c r="AS335" s="729">
        <v>10</v>
      </c>
      <c r="AT335" s="728">
        <v>9.0000000000000011E-3</v>
      </c>
      <c r="AU335" s="730">
        <v>10</v>
      </c>
      <c r="AV335" s="731">
        <v>0.26899999999999996</v>
      </c>
      <c r="AW335" s="730">
        <v>7</v>
      </c>
      <c r="AX335" s="728">
        <v>0.33600000000000002</v>
      </c>
      <c r="AY335" s="730">
        <v>5</v>
      </c>
      <c r="AZ335" s="728">
        <v>4.0999999999999995E-2</v>
      </c>
      <c r="BA335" s="730">
        <v>9</v>
      </c>
      <c r="BB335" s="733">
        <v>0.122</v>
      </c>
      <c r="BC335" s="730">
        <v>4</v>
      </c>
      <c r="BD335" s="6"/>
    </row>
    <row r="336" spans="7:56" s="704" customFormat="1" ht="15">
      <c r="G336" s="1546"/>
      <c r="W336" s="6"/>
      <c r="X336" s="87"/>
      <c r="Y336" s="87"/>
      <c r="Z336" s="739"/>
      <c r="AA336" s="739"/>
      <c r="AB336" s="743"/>
      <c r="AC336" s="108"/>
      <c r="AD336" s="108"/>
      <c r="AE336" s="770" t="s">
        <v>1760</v>
      </c>
      <c r="AF336" s="771" t="s">
        <v>653</v>
      </c>
      <c r="AG336" s="108"/>
      <c r="AH336" s="454" t="s">
        <v>447</v>
      </c>
      <c r="AI336" s="455">
        <v>17</v>
      </c>
      <c r="AJ336" s="724">
        <v>6.6611157368859281E-2</v>
      </c>
      <c r="AK336" s="725">
        <v>18</v>
      </c>
      <c r="AL336" s="726">
        <v>39372</v>
      </c>
      <c r="AM336" s="725">
        <v>16</v>
      </c>
      <c r="AN336" s="727">
        <v>0.49599999999999994</v>
      </c>
      <c r="AO336" s="725">
        <v>12</v>
      </c>
      <c r="AP336" s="727">
        <v>9.1999999999999998E-2</v>
      </c>
      <c r="AQ336" s="725">
        <v>12</v>
      </c>
      <c r="AR336" s="728">
        <v>0.73699999999999999</v>
      </c>
      <c r="AS336" s="729">
        <v>8</v>
      </c>
      <c r="AT336" s="728">
        <v>0</v>
      </c>
      <c r="AU336" s="730">
        <v>10</v>
      </c>
      <c r="AV336" s="731">
        <v>0.2</v>
      </c>
      <c r="AW336" s="730">
        <v>8</v>
      </c>
      <c r="AX336" s="728">
        <v>0.214</v>
      </c>
      <c r="AY336" s="730">
        <v>7</v>
      </c>
      <c r="AZ336" s="728">
        <v>6.5000000000000002E-2</v>
      </c>
      <c r="BA336" s="730">
        <v>8</v>
      </c>
      <c r="BB336" s="733">
        <v>0.111</v>
      </c>
      <c r="BC336" s="730">
        <v>3</v>
      </c>
      <c r="BD336" s="6"/>
    </row>
    <row r="337" spans="7:56" s="704" customFormat="1" ht="15">
      <c r="G337" s="1546"/>
      <c r="W337" s="6"/>
      <c r="X337" s="87"/>
      <c r="Y337" s="87"/>
      <c r="Z337" s="739"/>
      <c r="AA337" s="739"/>
      <c r="AB337" s="743"/>
      <c r="AC337" s="108"/>
      <c r="AD337" s="108"/>
      <c r="AE337" s="770" t="s">
        <v>1210</v>
      </c>
      <c r="AF337" s="771" t="s">
        <v>1450</v>
      </c>
      <c r="AG337" s="108"/>
      <c r="AH337" s="454" t="s">
        <v>447</v>
      </c>
      <c r="AI337" s="455">
        <v>18</v>
      </c>
      <c r="AJ337" s="724">
        <v>6.6611157368859281E-2</v>
      </c>
      <c r="AK337" s="725">
        <v>18</v>
      </c>
      <c r="AL337" s="726">
        <v>39372</v>
      </c>
      <c r="AM337" s="725">
        <v>16</v>
      </c>
      <c r="AN337" s="727">
        <v>0.49599999999999994</v>
      </c>
      <c r="AO337" s="725">
        <v>12</v>
      </c>
      <c r="AP337" s="727">
        <v>9.1999999999999998E-2</v>
      </c>
      <c r="AQ337" s="725">
        <v>12</v>
      </c>
      <c r="AR337" s="728">
        <v>0.59799999999999998</v>
      </c>
      <c r="AS337" s="729">
        <v>7</v>
      </c>
      <c r="AT337" s="728">
        <v>3.4000000000000002E-2</v>
      </c>
      <c r="AU337" s="730">
        <v>7</v>
      </c>
      <c r="AV337" s="731">
        <v>0.18600000000000003</v>
      </c>
      <c r="AW337" s="730">
        <v>8</v>
      </c>
      <c r="AX337" s="728">
        <v>0.28199999999999997</v>
      </c>
      <c r="AY337" s="730">
        <v>6</v>
      </c>
      <c r="AZ337" s="728">
        <v>0.13200000000000001</v>
      </c>
      <c r="BA337" s="730">
        <v>6</v>
      </c>
      <c r="BB337" s="733">
        <v>7.4999999999999997E-2</v>
      </c>
      <c r="BC337" s="730">
        <v>2</v>
      </c>
      <c r="BD337" s="6"/>
    </row>
    <row r="338" spans="7:56" s="704" customFormat="1" ht="15">
      <c r="G338" s="1546"/>
      <c r="W338" s="6"/>
      <c r="X338" s="87"/>
      <c r="Y338" s="87"/>
      <c r="Z338" s="739"/>
      <c r="AA338" s="739"/>
      <c r="AB338" s="743"/>
      <c r="AC338" s="108"/>
      <c r="AD338" s="108"/>
      <c r="AE338" s="770" t="s">
        <v>2559</v>
      </c>
      <c r="AF338" s="771" t="s">
        <v>1450</v>
      </c>
      <c r="AG338" s="108"/>
      <c r="AH338" s="454" t="s">
        <v>447</v>
      </c>
      <c r="AI338" s="455">
        <v>19</v>
      </c>
      <c r="AJ338" s="724">
        <v>6.6611157368859281E-2</v>
      </c>
      <c r="AK338" s="725">
        <v>18</v>
      </c>
      <c r="AL338" s="726">
        <v>39372</v>
      </c>
      <c r="AM338" s="725">
        <v>16</v>
      </c>
      <c r="AN338" s="727">
        <v>0.49599999999999994</v>
      </c>
      <c r="AO338" s="725">
        <v>12</v>
      </c>
      <c r="AP338" s="727">
        <v>9.1999999999999998E-2</v>
      </c>
      <c r="AQ338" s="725">
        <v>12</v>
      </c>
      <c r="AR338" s="728">
        <v>0.48899999999999999</v>
      </c>
      <c r="AS338" s="729">
        <v>6</v>
      </c>
      <c r="AT338" s="728">
        <v>0</v>
      </c>
      <c r="AU338" s="730">
        <v>10</v>
      </c>
      <c r="AV338" s="731">
        <v>0.36200000000000004</v>
      </c>
      <c r="AW338" s="730">
        <v>6</v>
      </c>
      <c r="AX338" s="728">
        <v>0.46799999999999997</v>
      </c>
      <c r="AY338" s="730">
        <v>3</v>
      </c>
      <c r="AZ338" s="728">
        <v>0.16699999999999998</v>
      </c>
      <c r="BA338" s="730">
        <v>5</v>
      </c>
      <c r="BB338" s="733">
        <v>0.10400000000000001</v>
      </c>
      <c r="BC338" s="730">
        <v>3</v>
      </c>
      <c r="BD338" s="6"/>
    </row>
    <row r="339" spans="7:56" s="704" customFormat="1" ht="15">
      <c r="G339" s="1546"/>
      <c r="W339" s="6"/>
      <c r="X339" s="87"/>
      <c r="Y339" s="87"/>
      <c r="Z339" s="739"/>
      <c r="AA339" s="739"/>
      <c r="AB339" s="743"/>
      <c r="AC339" s="108"/>
      <c r="AD339" s="108"/>
      <c r="AE339" s="770" t="s">
        <v>2560</v>
      </c>
      <c r="AF339" s="771" t="s">
        <v>653</v>
      </c>
      <c r="AG339" s="108"/>
      <c r="AH339" s="454" t="s">
        <v>447</v>
      </c>
      <c r="AI339" s="455">
        <v>20</v>
      </c>
      <c r="AJ339" s="724">
        <v>6.6611157368859281E-2</v>
      </c>
      <c r="AK339" s="725">
        <v>18</v>
      </c>
      <c r="AL339" s="726">
        <v>39372</v>
      </c>
      <c r="AM339" s="725">
        <v>16</v>
      </c>
      <c r="AN339" s="727">
        <v>0.49599999999999994</v>
      </c>
      <c r="AO339" s="725">
        <v>12</v>
      </c>
      <c r="AP339" s="727">
        <v>9.1999999999999998E-2</v>
      </c>
      <c r="AQ339" s="725">
        <v>12</v>
      </c>
      <c r="AR339" s="728">
        <v>0.56000000000000005</v>
      </c>
      <c r="AS339" s="729">
        <v>6</v>
      </c>
      <c r="AT339" s="728">
        <v>0.02</v>
      </c>
      <c r="AU339" s="730">
        <v>9</v>
      </c>
      <c r="AV339" s="731">
        <v>0.33600000000000002</v>
      </c>
      <c r="AW339" s="730">
        <v>6</v>
      </c>
      <c r="AX339" s="728">
        <v>0.43200000000000005</v>
      </c>
      <c r="AY339" s="730">
        <v>3</v>
      </c>
      <c r="AZ339" s="728">
        <v>0.09</v>
      </c>
      <c r="BA339" s="730">
        <v>7</v>
      </c>
      <c r="BB339" s="733">
        <v>0.16</v>
      </c>
      <c r="BC339" s="730">
        <v>5</v>
      </c>
      <c r="BD339" s="6"/>
    </row>
    <row r="340" spans="7:56" s="704" customFormat="1" ht="15">
      <c r="G340" s="1546"/>
      <c r="W340" s="6"/>
      <c r="X340" s="87"/>
      <c r="Y340" s="87"/>
      <c r="Z340" s="739"/>
      <c r="AA340" s="739"/>
      <c r="AB340" s="743"/>
      <c r="AC340" s="108"/>
      <c r="AD340" s="108"/>
      <c r="AE340" s="770" t="s">
        <v>2561</v>
      </c>
      <c r="AF340" s="771" t="s">
        <v>1450</v>
      </c>
      <c r="AG340" s="108"/>
      <c r="AH340" s="454" t="s">
        <v>447</v>
      </c>
      <c r="AI340" s="455">
        <v>21</v>
      </c>
      <c r="AJ340" s="724">
        <v>6.6611157368859281E-2</v>
      </c>
      <c r="AK340" s="725">
        <v>18</v>
      </c>
      <c r="AL340" s="726">
        <v>39372</v>
      </c>
      <c r="AM340" s="725">
        <v>16</v>
      </c>
      <c r="AN340" s="727">
        <v>0.49599999999999994</v>
      </c>
      <c r="AO340" s="725">
        <v>12</v>
      </c>
      <c r="AP340" s="727">
        <v>9.1999999999999998E-2</v>
      </c>
      <c r="AQ340" s="725">
        <v>12</v>
      </c>
      <c r="AR340" s="728">
        <v>0.64400000000000002</v>
      </c>
      <c r="AS340" s="729">
        <v>7</v>
      </c>
      <c r="AT340" s="728">
        <v>0</v>
      </c>
      <c r="AU340" s="730">
        <v>10</v>
      </c>
      <c r="AV340" s="731">
        <v>0.10300000000000001</v>
      </c>
      <c r="AW340" s="730">
        <v>9</v>
      </c>
      <c r="AX340" s="728">
        <v>0.18</v>
      </c>
      <c r="AY340" s="730">
        <v>8</v>
      </c>
      <c r="AZ340" s="728">
        <v>1.3000000000000001E-2</v>
      </c>
      <c r="BA340" s="730">
        <v>10</v>
      </c>
      <c r="BB340" s="733">
        <v>0.18899999999999997</v>
      </c>
      <c r="BC340" s="730">
        <v>5</v>
      </c>
      <c r="BD340" s="6"/>
    </row>
    <row r="341" spans="7:56" s="704" customFormat="1" ht="15">
      <c r="G341" s="1546"/>
      <c r="W341" s="6"/>
      <c r="X341" s="87"/>
      <c r="Y341" s="87"/>
      <c r="Z341" s="739"/>
      <c r="AA341" s="739"/>
      <c r="AB341" s="743"/>
      <c r="AC341" s="108"/>
      <c r="AD341" s="108"/>
      <c r="AE341" s="770" t="s">
        <v>1211</v>
      </c>
      <c r="AF341" s="771" t="s">
        <v>653</v>
      </c>
      <c r="AG341" s="108"/>
      <c r="AH341" s="454" t="s">
        <v>447</v>
      </c>
      <c r="AI341" s="455">
        <v>22</v>
      </c>
      <c r="AJ341" s="724">
        <v>6.6611157368859281E-2</v>
      </c>
      <c r="AK341" s="725">
        <v>18</v>
      </c>
      <c r="AL341" s="726">
        <v>39372</v>
      </c>
      <c r="AM341" s="725">
        <v>16</v>
      </c>
      <c r="AN341" s="727">
        <v>0.49599999999999994</v>
      </c>
      <c r="AO341" s="725">
        <v>12</v>
      </c>
      <c r="AP341" s="727">
        <v>9.1999999999999998E-2</v>
      </c>
      <c r="AQ341" s="725">
        <v>12</v>
      </c>
      <c r="AR341" s="728">
        <v>0.81700000000000006</v>
      </c>
      <c r="AS341" s="729">
        <v>9</v>
      </c>
      <c r="AT341" s="728">
        <v>0</v>
      </c>
      <c r="AU341" s="730">
        <v>10</v>
      </c>
      <c r="AV341" s="731">
        <v>0.16399999999999998</v>
      </c>
      <c r="AW341" s="730">
        <v>8</v>
      </c>
      <c r="AX341" s="728">
        <v>0.27699999999999997</v>
      </c>
      <c r="AY341" s="730">
        <v>6</v>
      </c>
      <c r="AZ341" s="728">
        <v>2.7999999999999997E-2</v>
      </c>
      <c r="BA341" s="730">
        <v>10</v>
      </c>
      <c r="BB341" s="733">
        <v>0.19500000000000001</v>
      </c>
      <c r="BC341" s="730">
        <v>6</v>
      </c>
      <c r="BD341" s="6"/>
    </row>
    <row r="342" spans="7:56" s="704" customFormat="1" ht="15">
      <c r="G342" s="1546"/>
      <c r="W342" s="6"/>
      <c r="X342" s="87"/>
      <c r="Y342" s="87"/>
      <c r="Z342" s="739"/>
      <c r="AA342" s="739"/>
      <c r="AB342" s="743"/>
      <c r="AC342" s="108"/>
      <c r="AD342" s="108"/>
      <c r="AE342" s="770" t="s">
        <v>1212</v>
      </c>
      <c r="AF342" s="771" t="s">
        <v>653</v>
      </c>
      <c r="AG342" s="108"/>
      <c r="AH342" s="454" t="s">
        <v>447</v>
      </c>
      <c r="AI342" s="455">
        <v>23</v>
      </c>
      <c r="AJ342" s="724">
        <v>6.6611157368859281E-2</v>
      </c>
      <c r="AK342" s="725">
        <v>18</v>
      </c>
      <c r="AL342" s="726">
        <v>39372</v>
      </c>
      <c r="AM342" s="725">
        <v>16</v>
      </c>
      <c r="AN342" s="727">
        <v>0.49599999999999994</v>
      </c>
      <c r="AO342" s="725">
        <v>12</v>
      </c>
      <c r="AP342" s="727">
        <v>9.1999999999999998E-2</v>
      </c>
      <c r="AQ342" s="725">
        <v>12</v>
      </c>
      <c r="AR342" s="728">
        <v>0.71599999999999997</v>
      </c>
      <c r="AS342" s="729">
        <v>8</v>
      </c>
      <c r="AT342" s="728">
        <v>0</v>
      </c>
      <c r="AU342" s="730">
        <v>10</v>
      </c>
      <c r="AV342" s="731">
        <v>0.153</v>
      </c>
      <c r="AW342" s="730">
        <v>9</v>
      </c>
      <c r="AX342" s="728">
        <v>0.25600000000000001</v>
      </c>
      <c r="AY342" s="730">
        <v>6</v>
      </c>
      <c r="AZ342" s="728">
        <v>3.3000000000000002E-2</v>
      </c>
      <c r="BA342" s="730">
        <v>9</v>
      </c>
      <c r="BB342" s="733">
        <v>0.10099999999999999</v>
      </c>
      <c r="BC342" s="730">
        <v>3</v>
      </c>
      <c r="BD342" s="6"/>
    </row>
    <row r="343" spans="7:56" s="704" customFormat="1" ht="15">
      <c r="G343" s="1546"/>
      <c r="W343" s="6"/>
      <c r="X343" s="87"/>
      <c r="Y343" s="87"/>
      <c r="Z343" s="739"/>
      <c r="AA343" s="739"/>
      <c r="AB343" s="743"/>
      <c r="AC343" s="108"/>
      <c r="AD343" s="108"/>
      <c r="AE343" s="770" t="s">
        <v>2562</v>
      </c>
      <c r="AF343" s="771" t="s">
        <v>653</v>
      </c>
      <c r="AG343" s="108"/>
      <c r="AH343" s="454" t="s">
        <v>447</v>
      </c>
      <c r="AI343" s="455">
        <v>24</v>
      </c>
      <c r="AJ343" s="724">
        <v>6.6611157368859281E-2</v>
      </c>
      <c r="AK343" s="725">
        <v>18</v>
      </c>
      <c r="AL343" s="726">
        <v>39372</v>
      </c>
      <c r="AM343" s="725">
        <v>16</v>
      </c>
      <c r="AN343" s="727">
        <v>0.49599999999999994</v>
      </c>
      <c r="AO343" s="725">
        <v>12</v>
      </c>
      <c r="AP343" s="727">
        <v>9.1999999999999998E-2</v>
      </c>
      <c r="AQ343" s="725">
        <v>12</v>
      </c>
      <c r="AR343" s="728">
        <v>0.8590000000000001</v>
      </c>
      <c r="AS343" s="729">
        <v>10</v>
      </c>
      <c r="AT343" s="728">
        <v>0</v>
      </c>
      <c r="AU343" s="730">
        <v>10</v>
      </c>
      <c r="AV343" s="731">
        <v>0.11199999999999999</v>
      </c>
      <c r="AW343" s="730">
        <v>9</v>
      </c>
      <c r="AX343" s="728">
        <v>9.9000000000000005E-2</v>
      </c>
      <c r="AY343" s="730">
        <v>9</v>
      </c>
      <c r="AZ343" s="728">
        <v>6.0999999999999999E-2</v>
      </c>
      <c r="BA343" s="730">
        <v>8</v>
      </c>
      <c r="BB343" s="733">
        <v>9.5000000000000001E-2</v>
      </c>
      <c r="BC343" s="730">
        <v>3</v>
      </c>
      <c r="BD343" s="6"/>
    </row>
    <row r="344" spans="7:56" s="704" customFormat="1" ht="15">
      <c r="G344" s="1546"/>
      <c r="W344" s="6"/>
      <c r="X344" s="87"/>
      <c r="Y344" s="87"/>
      <c r="Z344" s="739"/>
      <c r="AA344" s="739"/>
      <c r="AB344" s="743"/>
      <c r="AC344" s="108"/>
      <c r="AD344" s="108"/>
      <c r="AE344" s="770" t="s">
        <v>2790</v>
      </c>
      <c r="AF344" s="771" t="s">
        <v>1450</v>
      </c>
      <c r="AG344" s="108"/>
      <c r="AH344" s="454" t="s">
        <v>448</v>
      </c>
      <c r="AI344" s="455">
        <v>101</v>
      </c>
      <c r="AJ344" s="724">
        <v>0.12854864433811802</v>
      </c>
      <c r="AK344" s="725">
        <v>6</v>
      </c>
      <c r="AL344" s="726">
        <v>46354</v>
      </c>
      <c r="AM344" s="725">
        <v>14</v>
      </c>
      <c r="AN344" s="727">
        <v>0.45100000000000001</v>
      </c>
      <c r="AO344" s="725">
        <v>10</v>
      </c>
      <c r="AP344" s="727">
        <v>7.8E-2</v>
      </c>
      <c r="AQ344" s="725">
        <v>14</v>
      </c>
      <c r="AR344" s="728">
        <v>0.67400000000000004</v>
      </c>
      <c r="AS344" s="729">
        <v>8</v>
      </c>
      <c r="AT344" s="728">
        <v>3.0000000000000001E-3</v>
      </c>
      <c r="AU344" s="730">
        <v>10</v>
      </c>
      <c r="AV344" s="731">
        <v>0.11</v>
      </c>
      <c r="AW344" s="730">
        <v>9</v>
      </c>
      <c r="AX344" s="728">
        <v>8.4000000000000005E-2</v>
      </c>
      <c r="AY344" s="730">
        <v>9</v>
      </c>
      <c r="AZ344" s="728">
        <v>3.6000000000000004E-2</v>
      </c>
      <c r="BA344" s="730">
        <v>9</v>
      </c>
      <c r="BB344" s="733">
        <v>8.3000000000000004E-2</v>
      </c>
      <c r="BC344" s="730">
        <v>3</v>
      </c>
      <c r="BD344" s="6"/>
    </row>
    <row r="345" spans="7:56" s="704" customFormat="1" ht="15">
      <c r="G345" s="1546"/>
      <c r="W345" s="6"/>
      <c r="X345" s="87"/>
      <c r="Y345" s="87"/>
      <c r="Z345" s="739"/>
      <c r="AA345" s="739"/>
      <c r="AB345" s="743"/>
      <c r="AC345" s="108"/>
      <c r="AD345" s="108"/>
      <c r="AE345" s="770" t="s">
        <v>1213</v>
      </c>
      <c r="AF345" s="771" t="s">
        <v>653</v>
      </c>
      <c r="AG345" s="108"/>
      <c r="AH345" s="454" t="s">
        <v>448</v>
      </c>
      <c r="AI345" s="455">
        <v>102</v>
      </c>
      <c r="AJ345" s="724">
        <v>0.12854864433811802</v>
      </c>
      <c r="AK345" s="725">
        <v>6</v>
      </c>
      <c r="AL345" s="726">
        <v>46354</v>
      </c>
      <c r="AM345" s="725">
        <v>14</v>
      </c>
      <c r="AN345" s="727">
        <v>0.45100000000000001</v>
      </c>
      <c r="AO345" s="725">
        <v>10</v>
      </c>
      <c r="AP345" s="727">
        <v>7.8E-2</v>
      </c>
      <c r="AQ345" s="725">
        <v>14</v>
      </c>
      <c r="AR345" s="728">
        <v>0.70499999999999996</v>
      </c>
      <c r="AS345" s="729">
        <v>8</v>
      </c>
      <c r="AT345" s="728">
        <v>8.0000000000000002E-3</v>
      </c>
      <c r="AU345" s="730">
        <v>10</v>
      </c>
      <c r="AV345" s="731">
        <v>0.17199999999999999</v>
      </c>
      <c r="AW345" s="730">
        <v>8</v>
      </c>
      <c r="AX345" s="728">
        <v>0.129</v>
      </c>
      <c r="AY345" s="730">
        <v>8</v>
      </c>
      <c r="AZ345" s="728">
        <v>0.10400000000000001</v>
      </c>
      <c r="BA345" s="730">
        <v>7</v>
      </c>
      <c r="BB345" s="733">
        <v>0.105</v>
      </c>
      <c r="BC345" s="730">
        <v>3</v>
      </c>
      <c r="BD345" s="6"/>
    </row>
    <row r="346" spans="7:56" s="704" customFormat="1" ht="15">
      <c r="G346" s="1546"/>
      <c r="W346" s="6"/>
      <c r="X346" s="87"/>
      <c r="Y346" s="87"/>
      <c r="Z346" s="739"/>
      <c r="AA346" s="739"/>
      <c r="AB346" s="743"/>
      <c r="AC346" s="108"/>
      <c r="AD346" s="108"/>
      <c r="AE346" s="770" t="s">
        <v>1214</v>
      </c>
      <c r="AF346" s="771" t="s">
        <v>653</v>
      </c>
      <c r="AG346" s="108"/>
      <c r="AH346" s="454" t="s">
        <v>448</v>
      </c>
      <c r="AI346" s="455">
        <v>103</v>
      </c>
      <c r="AJ346" s="724">
        <v>0.12854864433811802</v>
      </c>
      <c r="AK346" s="725">
        <v>6</v>
      </c>
      <c r="AL346" s="726">
        <v>46354</v>
      </c>
      <c r="AM346" s="725">
        <v>14</v>
      </c>
      <c r="AN346" s="727">
        <v>0.45100000000000001</v>
      </c>
      <c r="AO346" s="725">
        <v>10</v>
      </c>
      <c r="AP346" s="727">
        <v>7.8E-2</v>
      </c>
      <c r="AQ346" s="725">
        <v>14</v>
      </c>
      <c r="AR346" s="728">
        <v>0.753</v>
      </c>
      <c r="AS346" s="729">
        <v>8</v>
      </c>
      <c r="AT346" s="728">
        <v>0</v>
      </c>
      <c r="AU346" s="730">
        <v>10</v>
      </c>
      <c r="AV346" s="731">
        <v>9.6000000000000002E-2</v>
      </c>
      <c r="AW346" s="730">
        <v>9</v>
      </c>
      <c r="AX346" s="728">
        <v>4.5999999999999999E-2</v>
      </c>
      <c r="AY346" s="730">
        <v>10</v>
      </c>
      <c r="AZ346" s="728">
        <v>3.7000000000000005E-2</v>
      </c>
      <c r="BA346" s="730">
        <v>9</v>
      </c>
      <c r="BB346" s="733">
        <v>8.1000000000000003E-2</v>
      </c>
      <c r="BC346" s="730">
        <v>3</v>
      </c>
      <c r="BD346" s="6"/>
    </row>
    <row r="347" spans="7:56" s="704" customFormat="1" ht="15">
      <c r="G347" s="1546"/>
      <c r="W347" s="6"/>
      <c r="X347" s="87"/>
      <c r="Y347" s="87"/>
      <c r="Z347" s="739"/>
      <c r="AA347" s="739"/>
      <c r="AB347" s="743"/>
      <c r="AC347" s="108"/>
      <c r="AD347" s="108"/>
      <c r="AE347" s="770" t="s">
        <v>2563</v>
      </c>
      <c r="AF347" s="771" t="s">
        <v>653</v>
      </c>
      <c r="AG347" s="108"/>
      <c r="AH347" s="454" t="s">
        <v>448</v>
      </c>
      <c r="AI347" s="455">
        <v>104</v>
      </c>
      <c r="AJ347" s="724">
        <v>0.12854864433811802</v>
      </c>
      <c r="AK347" s="725">
        <v>6</v>
      </c>
      <c r="AL347" s="726">
        <v>46354</v>
      </c>
      <c r="AM347" s="725">
        <v>14</v>
      </c>
      <c r="AN347" s="727">
        <v>0.45100000000000001</v>
      </c>
      <c r="AO347" s="725">
        <v>10</v>
      </c>
      <c r="AP347" s="727">
        <v>7.8E-2</v>
      </c>
      <c r="AQ347" s="725">
        <v>14</v>
      </c>
      <c r="AR347" s="728">
        <v>0.86199999999999999</v>
      </c>
      <c r="AS347" s="729">
        <v>10</v>
      </c>
      <c r="AT347" s="728">
        <v>0</v>
      </c>
      <c r="AU347" s="730">
        <v>10</v>
      </c>
      <c r="AV347" s="731">
        <v>0.11599999999999999</v>
      </c>
      <c r="AW347" s="730">
        <v>9</v>
      </c>
      <c r="AX347" s="728">
        <v>7.2999999999999995E-2</v>
      </c>
      <c r="AY347" s="730">
        <v>9</v>
      </c>
      <c r="AZ347" s="728">
        <v>4.0999999999999995E-2</v>
      </c>
      <c r="BA347" s="730">
        <v>9</v>
      </c>
      <c r="BB347" s="733">
        <v>8.3000000000000004E-2</v>
      </c>
      <c r="BC347" s="730">
        <v>3</v>
      </c>
      <c r="BD347" s="6"/>
    </row>
    <row r="348" spans="7:56" s="704" customFormat="1" ht="15">
      <c r="G348" s="1546"/>
      <c r="W348" s="6"/>
      <c r="X348" s="87"/>
      <c r="Y348" s="87"/>
      <c r="Z348" s="739"/>
      <c r="AA348" s="739"/>
      <c r="AB348" s="743"/>
      <c r="AC348" s="108"/>
      <c r="AD348" s="108"/>
      <c r="AE348" s="770" t="s">
        <v>1761</v>
      </c>
      <c r="AF348" s="771" t="s">
        <v>653</v>
      </c>
      <c r="AG348" s="108"/>
      <c r="AH348" s="454" t="s">
        <v>448</v>
      </c>
      <c r="AI348" s="455">
        <v>105</v>
      </c>
      <c r="AJ348" s="724">
        <v>0.12854864433811802</v>
      </c>
      <c r="AK348" s="725">
        <v>6</v>
      </c>
      <c r="AL348" s="726">
        <v>46354</v>
      </c>
      <c r="AM348" s="725">
        <v>14</v>
      </c>
      <c r="AN348" s="727">
        <v>0.45100000000000001</v>
      </c>
      <c r="AO348" s="725">
        <v>10</v>
      </c>
      <c r="AP348" s="727">
        <v>7.8E-2</v>
      </c>
      <c r="AQ348" s="725">
        <v>14</v>
      </c>
      <c r="AR348" s="728">
        <v>0.747</v>
      </c>
      <c r="AS348" s="729">
        <v>8</v>
      </c>
      <c r="AT348" s="728">
        <v>2.1000000000000001E-2</v>
      </c>
      <c r="AU348" s="730">
        <v>9</v>
      </c>
      <c r="AV348" s="731">
        <v>0.17899999999999999</v>
      </c>
      <c r="AW348" s="730">
        <v>8</v>
      </c>
      <c r="AX348" s="728">
        <v>5.5999999999999994E-2</v>
      </c>
      <c r="AY348" s="730">
        <v>10</v>
      </c>
      <c r="AZ348" s="728">
        <v>0.06</v>
      </c>
      <c r="BA348" s="730">
        <v>8</v>
      </c>
      <c r="BB348" s="733">
        <v>9.6000000000000002E-2</v>
      </c>
      <c r="BC348" s="730">
        <v>3</v>
      </c>
      <c r="BD348" s="6"/>
    </row>
    <row r="349" spans="7:56" s="704" customFormat="1" ht="15">
      <c r="G349" s="1546"/>
      <c r="W349" s="6"/>
      <c r="X349" s="87"/>
      <c r="Y349" s="87"/>
      <c r="Z349" s="739"/>
      <c r="AA349" s="739"/>
      <c r="AB349" s="743"/>
      <c r="AC349" s="108"/>
      <c r="AD349" s="108"/>
      <c r="AE349" s="770" t="s">
        <v>1762</v>
      </c>
      <c r="AF349" s="771" t="s">
        <v>1450</v>
      </c>
      <c r="AG349" s="108"/>
      <c r="AH349" s="454" t="s">
        <v>448</v>
      </c>
      <c r="AI349" s="455">
        <v>106</v>
      </c>
      <c r="AJ349" s="724">
        <v>0.12854864433811802</v>
      </c>
      <c r="AK349" s="725">
        <v>6</v>
      </c>
      <c r="AL349" s="726">
        <v>46354</v>
      </c>
      <c r="AM349" s="725">
        <v>14</v>
      </c>
      <c r="AN349" s="727">
        <v>0.45100000000000001</v>
      </c>
      <c r="AO349" s="725">
        <v>10</v>
      </c>
      <c r="AP349" s="727">
        <v>7.8E-2</v>
      </c>
      <c r="AQ349" s="725">
        <v>14</v>
      </c>
      <c r="AR349" s="728">
        <v>0.63300000000000001</v>
      </c>
      <c r="AS349" s="729">
        <v>7</v>
      </c>
      <c r="AT349" s="728">
        <v>0</v>
      </c>
      <c r="AU349" s="730">
        <v>10</v>
      </c>
      <c r="AV349" s="731">
        <v>0.17800000000000002</v>
      </c>
      <c r="AW349" s="730">
        <v>8</v>
      </c>
      <c r="AX349" s="728">
        <v>0.22</v>
      </c>
      <c r="AY349" s="730">
        <v>7</v>
      </c>
      <c r="AZ349" s="728">
        <v>9.5000000000000001E-2</v>
      </c>
      <c r="BA349" s="730">
        <v>7</v>
      </c>
      <c r="BB349" s="733">
        <v>7.5999999999999998E-2</v>
      </c>
      <c r="BC349" s="730">
        <v>2</v>
      </c>
      <c r="BD349" s="6"/>
    </row>
    <row r="350" spans="7:56" s="704" customFormat="1" ht="15">
      <c r="G350" s="1546"/>
      <c r="W350" s="6"/>
      <c r="X350" s="87"/>
      <c r="Y350" s="87"/>
      <c r="Z350" s="739"/>
      <c r="AA350" s="739"/>
      <c r="AB350" s="743"/>
      <c r="AC350" s="108"/>
      <c r="AD350" s="108"/>
      <c r="AE350" s="770" t="s">
        <v>1215</v>
      </c>
      <c r="AF350" s="771" t="s">
        <v>1450</v>
      </c>
      <c r="AG350" s="108"/>
      <c r="AH350" s="454" t="s">
        <v>448</v>
      </c>
      <c r="AI350" s="455">
        <v>107</v>
      </c>
      <c r="AJ350" s="724">
        <v>0.12854864433811802</v>
      </c>
      <c r="AK350" s="725">
        <v>6</v>
      </c>
      <c r="AL350" s="726">
        <v>46354</v>
      </c>
      <c r="AM350" s="725">
        <v>14</v>
      </c>
      <c r="AN350" s="727">
        <v>0.45100000000000001</v>
      </c>
      <c r="AO350" s="725">
        <v>10</v>
      </c>
      <c r="AP350" s="727">
        <v>7.8E-2</v>
      </c>
      <c r="AQ350" s="725">
        <v>14</v>
      </c>
      <c r="AR350" s="728">
        <v>0.54100000000000004</v>
      </c>
      <c r="AS350" s="729">
        <v>6</v>
      </c>
      <c r="AT350" s="728">
        <v>0</v>
      </c>
      <c r="AU350" s="730">
        <v>10</v>
      </c>
      <c r="AV350" s="731">
        <v>0.182</v>
      </c>
      <c r="AW350" s="730">
        <v>8</v>
      </c>
      <c r="AX350" s="728">
        <v>0.16800000000000001</v>
      </c>
      <c r="AY350" s="730">
        <v>8</v>
      </c>
      <c r="AZ350" s="728">
        <v>3.6000000000000004E-2</v>
      </c>
      <c r="BA350" s="730">
        <v>9</v>
      </c>
      <c r="BB350" s="733">
        <v>3.9E-2</v>
      </c>
      <c r="BC350" s="730">
        <v>2</v>
      </c>
      <c r="BD350" s="6"/>
    </row>
    <row r="351" spans="7:56" s="704" customFormat="1" ht="15">
      <c r="G351" s="1546"/>
      <c r="W351" s="6"/>
      <c r="X351" s="87"/>
      <c r="Y351" s="87"/>
      <c r="Z351" s="739"/>
      <c r="AA351" s="739"/>
      <c r="AB351" s="743"/>
      <c r="AC351" s="108"/>
      <c r="AD351" s="108"/>
      <c r="AE351" s="770" t="s">
        <v>1763</v>
      </c>
      <c r="AF351" s="771" t="s">
        <v>1450</v>
      </c>
      <c r="AG351" s="108"/>
      <c r="AH351" s="454" t="s">
        <v>449</v>
      </c>
      <c r="AI351" s="455">
        <v>9571</v>
      </c>
      <c r="AJ351" s="724">
        <v>3.5688793718772309E-2</v>
      </c>
      <c r="AK351" s="725">
        <v>24</v>
      </c>
      <c r="AL351" s="726">
        <v>31305</v>
      </c>
      <c r="AM351" s="725">
        <v>20</v>
      </c>
      <c r="AN351" s="727">
        <v>0.57199999999999995</v>
      </c>
      <c r="AO351" s="725">
        <v>16</v>
      </c>
      <c r="AP351" s="727">
        <v>3.5000000000000003E-2</v>
      </c>
      <c r="AQ351" s="725">
        <v>18</v>
      </c>
      <c r="AR351" s="728">
        <v>0.745</v>
      </c>
      <c r="AS351" s="729">
        <v>8</v>
      </c>
      <c r="AT351" s="728">
        <v>6.9999999999999993E-3</v>
      </c>
      <c r="AU351" s="730">
        <v>10</v>
      </c>
      <c r="AV351" s="731">
        <v>0.26899999999999996</v>
      </c>
      <c r="AW351" s="730">
        <v>7</v>
      </c>
      <c r="AX351" s="728">
        <v>0.308</v>
      </c>
      <c r="AY351" s="730">
        <v>5</v>
      </c>
      <c r="AZ351" s="728">
        <v>0.127</v>
      </c>
      <c r="BA351" s="730">
        <v>6</v>
      </c>
      <c r="BB351" s="733">
        <v>1.6E-2</v>
      </c>
      <c r="BC351" s="730">
        <v>1</v>
      </c>
      <c r="BD351" s="6"/>
    </row>
    <row r="352" spans="7:56" s="704" customFormat="1" ht="15">
      <c r="G352" s="1546"/>
      <c r="W352" s="6"/>
      <c r="X352" s="87"/>
      <c r="Y352" s="87"/>
      <c r="Z352" s="739"/>
      <c r="AA352" s="739"/>
      <c r="AB352" s="743"/>
      <c r="AC352" s="108"/>
      <c r="AD352" s="108"/>
      <c r="AE352" s="770" t="s">
        <v>1764</v>
      </c>
      <c r="AF352" s="771" t="s">
        <v>1450</v>
      </c>
      <c r="AG352" s="108"/>
      <c r="AH352" s="454" t="s">
        <v>449</v>
      </c>
      <c r="AI352" s="455">
        <v>9572</v>
      </c>
      <c r="AJ352" s="724">
        <v>3.5688793718772309E-2</v>
      </c>
      <c r="AK352" s="725">
        <v>24</v>
      </c>
      <c r="AL352" s="726">
        <v>31305</v>
      </c>
      <c r="AM352" s="725">
        <v>20</v>
      </c>
      <c r="AN352" s="727">
        <v>0.57199999999999995</v>
      </c>
      <c r="AO352" s="725">
        <v>16</v>
      </c>
      <c r="AP352" s="727">
        <v>3.5000000000000003E-2</v>
      </c>
      <c r="AQ352" s="725">
        <v>18</v>
      </c>
      <c r="AR352" s="728">
        <v>0.78700000000000003</v>
      </c>
      <c r="AS352" s="729">
        <v>9</v>
      </c>
      <c r="AT352" s="728">
        <v>0</v>
      </c>
      <c r="AU352" s="730">
        <v>10</v>
      </c>
      <c r="AV352" s="731">
        <v>0.23100000000000001</v>
      </c>
      <c r="AW352" s="730">
        <v>7</v>
      </c>
      <c r="AX352" s="728">
        <v>0.29899999999999999</v>
      </c>
      <c r="AY352" s="730">
        <v>6</v>
      </c>
      <c r="AZ352" s="728">
        <v>0.152</v>
      </c>
      <c r="BA352" s="730">
        <v>5</v>
      </c>
      <c r="BB352" s="733">
        <v>4.9000000000000002E-2</v>
      </c>
      <c r="BC352" s="730">
        <v>2</v>
      </c>
      <c r="BD352" s="6"/>
    </row>
    <row r="353" spans="7:56" s="704" customFormat="1" ht="15">
      <c r="G353" s="1546"/>
      <c r="W353" s="6"/>
      <c r="X353" s="87"/>
      <c r="Y353" s="87"/>
      <c r="Z353" s="739"/>
      <c r="AA353" s="739"/>
      <c r="AB353" s="743"/>
      <c r="AC353" s="108"/>
      <c r="AD353" s="108"/>
      <c r="AE353" s="770" t="s">
        <v>1216</v>
      </c>
      <c r="AF353" s="771" t="s">
        <v>1450</v>
      </c>
      <c r="AG353" s="108"/>
      <c r="AH353" s="454" t="s">
        <v>449</v>
      </c>
      <c r="AI353" s="455">
        <v>9573</v>
      </c>
      <c r="AJ353" s="724">
        <v>3.5688793718772309E-2</v>
      </c>
      <c r="AK353" s="725">
        <v>24</v>
      </c>
      <c r="AL353" s="726">
        <v>31305</v>
      </c>
      <c r="AM353" s="725">
        <v>20</v>
      </c>
      <c r="AN353" s="727">
        <v>0.57199999999999995</v>
      </c>
      <c r="AO353" s="725">
        <v>16</v>
      </c>
      <c r="AP353" s="727">
        <v>3.5000000000000003E-2</v>
      </c>
      <c r="AQ353" s="725">
        <v>18</v>
      </c>
      <c r="AR353" s="728">
        <v>0.80900000000000005</v>
      </c>
      <c r="AS353" s="729">
        <v>9</v>
      </c>
      <c r="AT353" s="728">
        <v>3.5000000000000003E-2</v>
      </c>
      <c r="AU353" s="730">
        <v>7</v>
      </c>
      <c r="AV353" s="731">
        <v>0.17499999999999999</v>
      </c>
      <c r="AW353" s="730">
        <v>8</v>
      </c>
      <c r="AX353" s="728">
        <v>0.29399999999999998</v>
      </c>
      <c r="AY353" s="730">
        <v>6</v>
      </c>
      <c r="AZ353" s="728">
        <v>0.13200000000000001</v>
      </c>
      <c r="BA353" s="730">
        <v>6</v>
      </c>
      <c r="BB353" s="733">
        <v>4.8000000000000001E-2</v>
      </c>
      <c r="BC353" s="730">
        <v>2</v>
      </c>
      <c r="BD353" s="6"/>
    </row>
    <row r="354" spans="7:56" s="704" customFormat="1" ht="15">
      <c r="G354" s="1546"/>
      <c r="W354" s="6"/>
      <c r="X354" s="87"/>
      <c r="Y354" s="87"/>
      <c r="Z354" s="739"/>
      <c r="AA354" s="739"/>
      <c r="AB354" s="743"/>
      <c r="AC354" s="108"/>
      <c r="AD354" s="108"/>
      <c r="AE354" s="770" t="s">
        <v>1217</v>
      </c>
      <c r="AF354" s="771" t="s">
        <v>1450</v>
      </c>
      <c r="AG354" s="108"/>
      <c r="AH354" s="454" t="s">
        <v>449</v>
      </c>
      <c r="AI354" s="455">
        <v>9574</v>
      </c>
      <c r="AJ354" s="724">
        <v>3.5688793718772309E-2</v>
      </c>
      <c r="AK354" s="725">
        <v>24</v>
      </c>
      <c r="AL354" s="726">
        <v>31305</v>
      </c>
      <c r="AM354" s="725">
        <v>20</v>
      </c>
      <c r="AN354" s="727">
        <v>0.57199999999999995</v>
      </c>
      <c r="AO354" s="725">
        <v>16</v>
      </c>
      <c r="AP354" s="727">
        <v>3.5000000000000003E-2</v>
      </c>
      <c r="AQ354" s="725">
        <v>18</v>
      </c>
      <c r="AR354" s="728">
        <v>0.53100000000000003</v>
      </c>
      <c r="AS354" s="729">
        <v>6</v>
      </c>
      <c r="AT354" s="728">
        <v>5.0000000000000001E-3</v>
      </c>
      <c r="AU354" s="730">
        <v>10</v>
      </c>
      <c r="AV354" s="731">
        <v>0.35799999999999998</v>
      </c>
      <c r="AW354" s="730">
        <v>6</v>
      </c>
      <c r="AX354" s="728">
        <v>0.27</v>
      </c>
      <c r="AY354" s="730">
        <v>6</v>
      </c>
      <c r="AZ354" s="728">
        <v>0.218</v>
      </c>
      <c r="BA354" s="730">
        <v>3</v>
      </c>
      <c r="BB354" s="733">
        <v>8.5000000000000006E-2</v>
      </c>
      <c r="BC354" s="730">
        <v>3</v>
      </c>
      <c r="BD354" s="6"/>
    </row>
    <row r="355" spans="7:56" s="704" customFormat="1" ht="15">
      <c r="G355" s="1546"/>
      <c r="W355" s="6"/>
      <c r="X355" s="87"/>
      <c r="Y355" s="87"/>
      <c r="Z355" s="739"/>
      <c r="AA355" s="739"/>
      <c r="AB355" s="743"/>
      <c r="AC355" s="108"/>
      <c r="AD355" s="108"/>
      <c r="AE355" s="770" t="s">
        <v>1218</v>
      </c>
      <c r="AF355" s="771" t="s">
        <v>1450</v>
      </c>
      <c r="AG355" s="108"/>
      <c r="AH355" s="454" t="s">
        <v>449</v>
      </c>
      <c r="AI355" s="455">
        <v>9575</v>
      </c>
      <c r="AJ355" s="724">
        <v>3.5688793718772309E-2</v>
      </c>
      <c r="AK355" s="725">
        <v>24</v>
      </c>
      <c r="AL355" s="726">
        <v>31305</v>
      </c>
      <c r="AM355" s="725">
        <v>20</v>
      </c>
      <c r="AN355" s="727">
        <v>0.57199999999999995</v>
      </c>
      <c r="AO355" s="725">
        <v>16</v>
      </c>
      <c r="AP355" s="727">
        <v>3.5000000000000003E-2</v>
      </c>
      <c r="AQ355" s="725">
        <v>18</v>
      </c>
      <c r="AR355" s="728">
        <v>0.67599999999999993</v>
      </c>
      <c r="AS355" s="729">
        <v>8</v>
      </c>
      <c r="AT355" s="728">
        <v>3.5000000000000003E-2</v>
      </c>
      <c r="AU355" s="730">
        <v>7</v>
      </c>
      <c r="AV355" s="731">
        <v>0.41700000000000004</v>
      </c>
      <c r="AW355" s="730">
        <v>5</v>
      </c>
      <c r="AX355" s="728">
        <v>0.44</v>
      </c>
      <c r="AY355" s="730">
        <v>3</v>
      </c>
      <c r="AZ355" s="728">
        <v>0.223</v>
      </c>
      <c r="BA355" s="730">
        <v>3</v>
      </c>
      <c r="BB355" s="733">
        <v>3.7999999999999999E-2</v>
      </c>
      <c r="BC355" s="730">
        <v>2</v>
      </c>
      <c r="BD355" s="6"/>
    </row>
    <row r="356" spans="7:56" s="704" customFormat="1" ht="15">
      <c r="G356" s="1546"/>
      <c r="W356" s="6"/>
      <c r="X356" s="87"/>
      <c r="Y356" s="87"/>
      <c r="Z356" s="739"/>
      <c r="AA356" s="739"/>
      <c r="AB356" s="743"/>
      <c r="AC356" s="108"/>
      <c r="AD356" s="108"/>
      <c r="AE356" s="770" t="s">
        <v>1219</v>
      </c>
      <c r="AF356" s="771" t="s">
        <v>1450</v>
      </c>
      <c r="AG356" s="108"/>
      <c r="AH356" s="454" t="s">
        <v>449</v>
      </c>
      <c r="AI356" s="455">
        <v>9576</v>
      </c>
      <c r="AJ356" s="724">
        <v>3.5688793718772309E-2</v>
      </c>
      <c r="AK356" s="725">
        <v>24</v>
      </c>
      <c r="AL356" s="726">
        <v>31305</v>
      </c>
      <c r="AM356" s="725">
        <v>20</v>
      </c>
      <c r="AN356" s="727">
        <v>0.57199999999999995</v>
      </c>
      <c r="AO356" s="725">
        <v>16</v>
      </c>
      <c r="AP356" s="727">
        <v>3.5000000000000003E-2</v>
      </c>
      <c r="AQ356" s="725">
        <v>18</v>
      </c>
      <c r="AR356" s="728">
        <v>0.82900000000000007</v>
      </c>
      <c r="AS356" s="729">
        <v>9</v>
      </c>
      <c r="AT356" s="728">
        <v>0</v>
      </c>
      <c r="AU356" s="730">
        <v>10</v>
      </c>
      <c r="AV356" s="731">
        <v>0.33899999999999997</v>
      </c>
      <c r="AW356" s="730">
        <v>6</v>
      </c>
      <c r="AX356" s="728">
        <v>0.36200000000000004</v>
      </c>
      <c r="AY356" s="730">
        <v>5</v>
      </c>
      <c r="AZ356" s="728">
        <v>0.128</v>
      </c>
      <c r="BA356" s="730">
        <v>6</v>
      </c>
      <c r="BB356" s="733">
        <v>5.5999999999999994E-2</v>
      </c>
      <c r="BC356" s="730">
        <v>2</v>
      </c>
      <c r="BD356" s="6"/>
    </row>
    <row r="357" spans="7:56" s="704" customFormat="1" ht="15">
      <c r="G357" s="1546"/>
      <c r="W357" s="6"/>
      <c r="X357" s="87"/>
      <c r="Y357" s="87"/>
      <c r="Z357" s="739"/>
      <c r="AA357" s="739"/>
      <c r="AB357" s="743"/>
      <c r="AC357" s="108"/>
      <c r="AD357" s="108"/>
      <c r="AE357" s="770" t="s">
        <v>1220</v>
      </c>
      <c r="AF357" s="771" t="s">
        <v>1450</v>
      </c>
      <c r="AG357" s="108"/>
      <c r="AH357" s="454" t="s">
        <v>449</v>
      </c>
      <c r="AI357" s="455">
        <v>9577</v>
      </c>
      <c r="AJ357" s="724">
        <v>3.5688793718772309E-2</v>
      </c>
      <c r="AK357" s="725">
        <v>24</v>
      </c>
      <c r="AL357" s="726">
        <v>31305</v>
      </c>
      <c r="AM357" s="725">
        <v>20</v>
      </c>
      <c r="AN357" s="727">
        <v>0.57199999999999995</v>
      </c>
      <c r="AO357" s="725">
        <v>16</v>
      </c>
      <c r="AP357" s="727">
        <v>3.5000000000000003E-2</v>
      </c>
      <c r="AQ357" s="725">
        <v>18</v>
      </c>
      <c r="AR357" s="728">
        <v>0.82099999999999995</v>
      </c>
      <c r="AS357" s="729">
        <v>9</v>
      </c>
      <c r="AT357" s="728">
        <v>0</v>
      </c>
      <c r="AU357" s="730">
        <v>10</v>
      </c>
      <c r="AV357" s="731">
        <v>0.254</v>
      </c>
      <c r="AW357" s="730">
        <v>7</v>
      </c>
      <c r="AX357" s="728">
        <v>0.26300000000000001</v>
      </c>
      <c r="AY357" s="730">
        <v>6</v>
      </c>
      <c r="AZ357" s="728">
        <v>0.15</v>
      </c>
      <c r="BA357" s="730">
        <v>5</v>
      </c>
      <c r="BB357" s="733">
        <v>5.2000000000000005E-2</v>
      </c>
      <c r="BC357" s="730">
        <v>2</v>
      </c>
      <c r="BD357" s="6"/>
    </row>
    <row r="358" spans="7:56" s="704" customFormat="1" ht="15">
      <c r="G358" s="1546"/>
      <c r="W358" s="6"/>
      <c r="X358" s="87"/>
      <c r="Y358" s="87"/>
      <c r="Z358" s="739"/>
      <c r="AA358" s="739"/>
      <c r="AB358" s="743"/>
      <c r="AC358" s="108"/>
      <c r="AD358" s="108"/>
      <c r="AE358" s="770" t="s">
        <v>1221</v>
      </c>
      <c r="AF358" s="771" t="s">
        <v>653</v>
      </c>
      <c r="AG358" s="108"/>
      <c r="AH358" s="454" t="s">
        <v>418</v>
      </c>
      <c r="AI358" s="455">
        <v>101.01</v>
      </c>
      <c r="AJ358" s="724">
        <v>4.0813926135027052E-2</v>
      </c>
      <c r="AK358" s="725">
        <v>24</v>
      </c>
      <c r="AL358" s="726">
        <v>49926</v>
      </c>
      <c r="AM358" s="725">
        <v>12</v>
      </c>
      <c r="AN358" s="727">
        <v>0.52800000000000002</v>
      </c>
      <c r="AO358" s="725">
        <v>14</v>
      </c>
      <c r="AP358" s="727">
        <v>0.1</v>
      </c>
      <c r="AQ358" s="725">
        <v>12</v>
      </c>
      <c r="AR358" s="728">
        <v>2.5000000000000001E-2</v>
      </c>
      <c r="AS358" s="729">
        <v>1</v>
      </c>
      <c r="AT358" s="728">
        <v>0.05</v>
      </c>
      <c r="AU358" s="730">
        <v>6</v>
      </c>
      <c r="AV358" s="731">
        <v>0.74199999999999999</v>
      </c>
      <c r="AW358" s="730">
        <v>1</v>
      </c>
      <c r="AX358" s="728">
        <v>6.2E-2</v>
      </c>
      <c r="AY358" s="730">
        <v>9</v>
      </c>
      <c r="AZ358" s="728">
        <v>0.29699999999999999</v>
      </c>
      <c r="BA358" s="730">
        <v>1</v>
      </c>
      <c r="BB358" s="733">
        <v>0.182</v>
      </c>
      <c r="BC358" s="730">
        <v>5</v>
      </c>
      <c r="BD358" s="6"/>
    </row>
    <row r="359" spans="7:56" s="704" customFormat="1" ht="15">
      <c r="G359" s="1546"/>
      <c r="W359" s="6"/>
      <c r="X359" s="87"/>
      <c r="Y359" s="87"/>
      <c r="Z359" s="739"/>
      <c r="AA359" s="739"/>
      <c r="AB359" s="743"/>
      <c r="AC359" s="108"/>
      <c r="AD359" s="108"/>
      <c r="AE359" s="770" t="s">
        <v>1222</v>
      </c>
      <c r="AF359" s="771" t="s">
        <v>653</v>
      </c>
      <c r="AG359" s="108"/>
      <c r="AH359" s="454" t="s">
        <v>418</v>
      </c>
      <c r="AI359" s="455">
        <v>101.02</v>
      </c>
      <c r="AJ359" s="724">
        <v>4.0813926135027052E-2</v>
      </c>
      <c r="AK359" s="725">
        <v>24</v>
      </c>
      <c r="AL359" s="726">
        <v>49926</v>
      </c>
      <c r="AM359" s="725">
        <v>12</v>
      </c>
      <c r="AN359" s="727">
        <v>0.52800000000000002</v>
      </c>
      <c r="AO359" s="725">
        <v>14</v>
      </c>
      <c r="AP359" s="727">
        <v>0.1</v>
      </c>
      <c r="AQ359" s="725">
        <v>12</v>
      </c>
      <c r="AR359" s="728">
        <v>0.10800000000000001</v>
      </c>
      <c r="AS359" s="729">
        <v>1</v>
      </c>
      <c r="AT359" s="728">
        <v>8.0000000000000002E-3</v>
      </c>
      <c r="AU359" s="730">
        <v>10</v>
      </c>
      <c r="AV359" s="731">
        <v>0.63800000000000001</v>
      </c>
      <c r="AW359" s="730">
        <v>2</v>
      </c>
      <c r="AX359" s="728">
        <v>8.1000000000000003E-2</v>
      </c>
      <c r="AY359" s="730">
        <v>9</v>
      </c>
      <c r="AZ359" s="728">
        <v>0.152</v>
      </c>
      <c r="BA359" s="730">
        <v>5</v>
      </c>
      <c r="BB359" s="733">
        <v>0.27200000000000002</v>
      </c>
      <c r="BC359" s="730">
        <v>8</v>
      </c>
      <c r="BD359" s="6"/>
    </row>
    <row r="360" spans="7:56" s="704" customFormat="1" ht="15">
      <c r="G360" s="1546"/>
      <c r="W360" s="6"/>
      <c r="X360" s="87"/>
      <c r="Y360" s="87"/>
      <c r="Z360" s="739"/>
      <c r="AA360" s="739"/>
      <c r="AB360" s="743"/>
      <c r="AC360" s="108"/>
      <c r="AD360" s="108"/>
      <c r="AE360" s="770" t="s">
        <v>1223</v>
      </c>
      <c r="AF360" s="771" t="s">
        <v>653</v>
      </c>
      <c r="AG360" s="108"/>
      <c r="AH360" s="454" t="s">
        <v>418</v>
      </c>
      <c r="AI360" s="455">
        <v>102.01</v>
      </c>
      <c r="AJ360" s="724">
        <v>4.0813926135027052E-2</v>
      </c>
      <c r="AK360" s="725">
        <v>24</v>
      </c>
      <c r="AL360" s="726">
        <v>49926</v>
      </c>
      <c r="AM360" s="725">
        <v>12</v>
      </c>
      <c r="AN360" s="727">
        <v>0.52800000000000002</v>
      </c>
      <c r="AO360" s="725">
        <v>14</v>
      </c>
      <c r="AP360" s="727">
        <v>0.1</v>
      </c>
      <c r="AQ360" s="725">
        <v>12</v>
      </c>
      <c r="AR360" s="728">
        <v>0.127</v>
      </c>
      <c r="AS360" s="729">
        <v>2</v>
      </c>
      <c r="AT360" s="728">
        <v>4.9000000000000002E-2</v>
      </c>
      <c r="AU360" s="730">
        <v>6</v>
      </c>
      <c r="AV360" s="731">
        <v>0.41600000000000004</v>
      </c>
      <c r="AW360" s="730">
        <v>5</v>
      </c>
      <c r="AX360" s="728">
        <v>1.4999999999999999E-2</v>
      </c>
      <c r="AY360" s="730">
        <v>10</v>
      </c>
      <c r="AZ360" s="728">
        <v>0.11599999999999999</v>
      </c>
      <c r="BA360" s="730">
        <v>7</v>
      </c>
      <c r="BB360" s="733">
        <v>0.26300000000000001</v>
      </c>
      <c r="BC360" s="730">
        <v>7</v>
      </c>
      <c r="BD360" s="6"/>
    </row>
    <row r="361" spans="7:56" s="704" customFormat="1" ht="15">
      <c r="G361" s="1546"/>
      <c r="W361" s="6"/>
      <c r="X361" s="87"/>
      <c r="Y361" s="87"/>
      <c r="Z361" s="739"/>
      <c r="AA361" s="739"/>
      <c r="AB361" s="743"/>
      <c r="AC361" s="108"/>
      <c r="AD361" s="108"/>
      <c r="AE361" s="770" t="s">
        <v>1224</v>
      </c>
      <c r="AF361" s="771" t="s">
        <v>1450</v>
      </c>
      <c r="AG361" s="108"/>
      <c r="AH361" s="454" t="s">
        <v>418</v>
      </c>
      <c r="AI361" s="455">
        <v>102.02</v>
      </c>
      <c r="AJ361" s="724">
        <v>4.0813926135027052E-2</v>
      </c>
      <c r="AK361" s="725">
        <v>24</v>
      </c>
      <c r="AL361" s="726">
        <v>49926</v>
      </c>
      <c r="AM361" s="725">
        <v>12</v>
      </c>
      <c r="AN361" s="727">
        <v>0.52800000000000002</v>
      </c>
      <c r="AO361" s="725">
        <v>14</v>
      </c>
      <c r="AP361" s="727">
        <v>0.1</v>
      </c>
      <c r="AQ361" s="725">
        <v>12</v>
      </c>
      <c r="AR361" s="728">
        <v>0.26</v>
      </c>
      <c r="AS361" s="729">
        <v>3</v>
      </c>
      <c r="AT361" s="728">
        <v>4.7E-2</v>
      </c>
      <c r="AU361" s="730">
        <v>6</v>
      </c>
      <c r="AV361" s="731">
        <v>0.54400000000000004</v>
      </c>
      <c r="AW361" s="730">
        <v>3</v>
      </c>
      <c r="AX361" s="728">
        <v>0.08</v>
      </c>
      <c r="AY361" s="730">
        <v>9</v>
      </c>
      <c r="AZ361" s="728">
        <v>6.7000000000000004E-2</v>
      </c>
      <c r="BA361" s="730">
        <v>8</v>
      </c>
      <c r="BB361" s="733">
        <v>0.23399999999999999</v>
      </c>
      <c r="BC361" s="730">
        <v>7</v>
      </c>
      <c r="BD361" s="6"/>
    </row>
    <row r="362" spans="7:56" s="704" customFormat="1" ht="15">
      <c r="G362" s="1546"/>
      <c r="W362" s="6"/>
      <c r="X362" s="87"/>
      <c r="Y362" s="87"/>
      <c r="Z362" s="739"/>
      <c r="AA362" s="739"/>
      <c r="AB362" s="743"/>
      <c r="AC362" s="108"/>
      <c r="AD362" s="108"/>
      <c r="AE362" s="770" t="s">
        <v>2564</v>
      </c>
      <c r="AF362" s="771" t="s">
        <v>653</v>
      </c>
      <c r="AG362" s="108"/>
      <c r="AH362" s="454" t="s">
        <v>418</v>
      </c>
      <c r="AI362" s="455">
        <v>104</v>
      </c>
      <c r="AJ362" s="724">
        <v>4.0813926135027052E-2</v>
      </c>
      <c r="AK362" s="725">
        <v>24</v>
      </c>
      <c r="AL362" s="726">
        <v>49926</v>
      </c>
      <c r="AM362" s="725">
        <v>12</v>
      </c>
      <c r="AN362" s="727">
        <v>0.52800000000000002</v>
      </c>
      <c r="AO362" s="725">
        <v>14</v>
      </c>
      <c r="AP362" s="727">
        <v>0.1</v>
      </c>
      <c r="AQ362" s="725">
        <v>12</v>
      </c>
      <c r="AR362" s="728">
        <v>0.53500000000000003</v>
      </c>
      <c r="AS362" s="729">
        <v>6</v>
      </c>
      <c r="AT362" s="728">
        <v>3.3000000000000002E-2</v>
      </c>
      <c r="AU362" s="730">
        <v>7</v>
      </c>
      <c r="AV362" s="731">
        <v>0.157</v>
      </c>
      <c r="AW362" s="730">
        <v>8</v>
      </c>
      <c r="AX362" s="728">
        <v>9.6999999999999989E-2</v>
      </c>
      <c r="AY362" s="730">
        <v>9</v>
      </c>
      <c r="AZ362" s="728">
        <v>4.0999999999999995E-2</v>
      </c>
      <c r="BA362" s="730">
        <v>9</v>
      </c>
      <c r="BB362" s="733">
        <v>0.251</v>
      </c>
      <c r="BC362" s="730">
        <v>7</v>
      </c>
      <c r="BD362" s="6"/>
    </row>
    <row r="363" spans="7:56" s="704" customFormat="1" ht="15">
      <c r="G363" s="1546"/>
      <c r="W363" s="6"/>
      <c r="X363" s="87"/>
      <c r="Y363" s="87"/>
      <c r="Z363" s="739"/>
      <c r="AA363" s="739"/>
      <c r="AB363" s="743"/>
      <c r="AC363" s="108"/>
      <c r="AD363" s="108"/>
      <c r="AE363" s="770" t="s">
        <v>2565</v>
      </c>
      <c r="AF363" s="771" t="s">
        <v>1450</v>
      </c>
      <c r="AG363" s="108"/>
      <c r="AH363" s="454" t="s">
        <v>418</v>
      </c>
      <c r="AI363" s="455">
        <v>106</v>
      </c>
      <c r="AJ363" s="724">
        <v>4.0813926135027052E-2</v>
      </c>
      <c r="AK363" s="725">
        <v>24</v>
      </c>
      <c r="AL363" s="726">
        <v>49926</v>
      </c>
      <c r="AM363" s="725">
        <v>12</v>
      </c>
      <c r="AN363" s="727">
        <v>0.52800000000000002</v>
      </c>
      <c r="AO363" s="725">
        <v>14</v>
      </c>
      <c r="AP363" s="727">
        <v>0.1</v>
      </c>
      <c r="AQ363" s="725">
        <v>12</v>
      </c>
      <c r="AR363" s="728">
        <v>0.255</v>
      </c>
      <c r="AS363" s="729">
        <v>3</v>
      </c>
      <c r="AT363" s="728">
        <v>2.7000000000000003E-2</v>
      </c>
      <c r="AU363" s="730">
        <v>8</v>
      </c>
      <c r="AV363" s="731">
        <v>0.374</v>
      </c>
      <c r="AW363" s="730">
        <v>5</v>
      </c>
      <c r="AX363" s="728">
        <v>2.6000000000000002E-2</v>
      </c>
      <c r="AY363" s="730">
        <v>10</v>
      </c>
      <c r="AZ363" s="728">
        <v>3.4000000000000002E-2</v>
      </c>
      <c r="BA363" s="730">
        <v>9</v>
      </c>
      <c r="BB363" s="733">
        <v>0.22699999999999998</v>
      </c>
      <c r="BC363" s="730">
        <v>6</v>
      </c>
      <c r="BD363" s="6"/>
    </row>
    <row r="364" spans="7:56" s="704" customFormat="1" ht="15">
      <c r="G364" s="1546"/>
      <c r="W364" s="6"/>
      <c r="X364" s="87"/>
      <c r="Y364" s="87"/>
      <c r="Z364" s="739"/>
      <c r="AA364" s="739"/>
      <c r="AB364" s="743"/>
      <c r="AC364" s="108"/>
      <c r="AD364" s="108"/>
      <c r="AE364" s="770" t="s">
        <v>1765</v>
      </c>
      <c r="AF364" s="771" t="s">
        <v>653</v>
      </c>
      <c r="AG364" s="108"/>
      <c r="AH364" s="454" t="s">
        <v>418</v>
      </c>
      <c r="AI364" s="455">
        <v>107</v>
      </c>
      <c r="AJ364" s="724">
        <v>4.0813926135027052E-2</v>
      </c>
      <c r="AK364" s="725">
        <v>24</v>
      </c>
      <c r="AL364" s="726">
        <v>49926</v>
      </c>
      <c r="AM364" s="725">
        <v>12</v>
      </c>
      <c r="AN364" s="727">
        <v>0.52800000000000002</v>
      </c>
      <c r="AO364" s="725">
        <v>14</v>
      </c>
      <c r="AP364" s="727">
        <v>0.1</v>
      </c>
      <c r="AQ364" s="725">
        <v>12</v>
      </c>
      <c r="AR364" s="728">
        <v>0.38799999999999996</v>
      </c>
      <c r="AS364" s="729">
        <v>4</v>
      </c>
      <c r="AT364" s="728">
        <v>8.4000000000000005E-2</v>
      </c>
      <c r="AU364" s="730">
        <v>3</v>
      </c>
      <c r="AV364" s="731">
        <v>0.29299999999999998</v>
      </c>
      <c r="AW364" s="730">
        <v>7</v>
      </c>
      <c r="AX364" s="728">
        <v>0.14000000000000001</v>
      </c>
      <c r="AY364" s="730">
        <v>8</v>
      </c>
      <c r="AZ364" s="728">
        <v>0.107</v>
      </c>
      <c r="BA364" s="730">
        <v>7</v>
      </c>
      <c r="BB364" s="733">
        <v>0.252</v>
      </c>
      <c r="BC364" s="730">
        <v>7</v>
      </c>
      <c r="BD364" s="6"/>
    </row>
    <row r="365" spans="7:56" s="704" customFormat="1" ht="15">
      <c r="G365" s="1546"/>
      <c r="W365" s="6"/>
      <c r="X365" s="87"/>
      <c r="Y365" s="87"/>
      <c r="Z365" s="739"/>
      <c r="AA365" s="739"/>
      <c r="AB365" s="743"/>
      <c r="AC365" s="108"/>
      <c r="AD365" s="108"/>
      <c r="AE365" s="770" t="s">
        <v>1766</v>
      </c>
      <c r="AF365" s="771" t="s">
        <v>653</v>
      </c>
      <c r="AG365" s="108"/>
      <c r="AH365" s="454" t="s">
        <v>418</v>
      </c>
      <c r="AI365" s="455">
        <v>108</v>
      </c>
      <c r="AJ365" s="724">
        <v>4.0813926135027052E-2</v>
      </c>
      <c r="AK365" s="725">
        <v>24</v>
      </c>
      <c r="AL365" s="726">
        <v>49926</v>
      </c>
      <c r="AM365" s="725">
        <v>12</v>
      </c>
      <c r="AN365" s="727">
        <v>0.52800000000000002</v>
      </c>
      <c r="AO365" s="725">
        <v>14</v>
      </c>
      <c r="AP365" s="727">
        <v>0.1</v>
      </c>
      <c r="AQ365" s="725">
        <v>12</v>
      </c>
      <c r="AR365" s="728">
        <v>0.61699999999999999</v>
      </c>
      <c r="AS365" s="729">
        <v>7</v>
      </c>
      <c r="AT365" s="728">
        <v>1.8000000000000002E-2</v>
      </c>
      <c r="AU365" s="730">
        <v>9</v>
      </c>
      <c r="AV365" s="731">
        <v>0.21899999999999997</v>
      </c>
      <c r="AW365" s="730">
        <v>8</v>
      </c>
      <c r="AX365" s="728">
        <v>0.152</v>
      </c>
      <c r="AY365" s="730">
        <v>8</v>
      </c>
      <c r="AZ365" s="728">
        <v>1.7000000000000001E-2</v>
      </c>
      <c r="BA365" s="730">
        <v>10</v>
      </c>
      <c r="BB365" s="733">
        <v>0.20399999999999999</v>
      </c>
      <c r="BC365" s="730">
        <v>6</v>
      </c>
      <c r="BD365" s="6"/>
    </row>
    <row r="366" spans="7:56" s="704" customFormat="1" ht="15">
      <c r="G366" s="1546"/>
      <c r="W366" s="6"/>
      <c r="X366" s="87"/>
      <c r="Y366" s="87"/>
      <c r="Z366" s="739"/>
      <c r="AA366" s="739"/>
      <c r="AB366" s="743"/>
      <c r="AC366" s="108"/>
      <c r="AD366" s="108"/>
      <c r="AE366" s="770" t="s">
        <v>1225</v>
      </c>
      <c r="AF366" s="771" t="s">
        <v>1450</v>
      </c>
      <c r="AG366" s="108"/>
      <c r="AH366" s="454" t="s">
        <v>418</v>
      </c>
      <c r="AI366" s="455">
        <v>109.01</v>
      </c>
      <c r="AJ366" s="724">
        <v>4.0813926135027052E-2</v>
      </c>
      <c r="AK366" s="725">
        <v>24</v>
      </c>
      <c r="AL366" s="726">
        <v>49926</v>
      </c>
      <c r="AM366" s="725">
        <v>12</v>
      </c>
      <c r="AN366" s="727">
        <v>0.52800000000000002</v>
      </c>
      <c r="AO366" s="725">
        <v>14</v>
      </c>
      <c r="AP366" s="727">
        <v>0.1</v>
      </c>
      <c r="AQ366" s="725">
        <v>12</v>
      </c>
      <c r="AR366" s="728">
        <v>0.379</v>
      </c>
      <c r="AS366" s="729">
        <v>4</v>
      </c>
      <c r="AT366" s="728">
        <v>1.4999999999999999E-2</v>
      </c>
      <c r="AU366" s="730">
        <v>9</v>
      </c>
      <c r="AV366" s="731">
        <v>0.27399999999999997</v>
      </c>
      <c r="AW366" s="730">
        <v>7</v>
      </c>
      <c r="AX366" s="728">
        <v>5.2999999999999999E-2</v>
      </c>
      <c r="AY366" s="730">
        <v>10</v>
      </c>
      <c r="AZ366" s="728">
        <v>6.2E-2</v>
      </c>
      <c r="BA366" s="730">
        <v>8</v>
      </c>
      <c r="BB366" s="733">
        <v>0.254</v>
      </c>
      <c r="BC366" s="730">
        <v>7</v>
      </c>
      <c r="BD366" s="6"/>
    </row>
    <row r="367" spans="7:56" s="704" customFormat="1" ht="15">
      <c r="G367" s="1546"/>
      <c r="W367" s="6"/>
      <c r="X367" s="87"/>
      <c r="Y367" s="87"/>
      <c r="Z367" s="739"/>
      <c r="AA367" s="739"/>
      <c r="AB367" s="743"/>
      <c r="AC367" s="108"/>
      <c r="AD367" s="108"/>
      <c r="AE367" s="770" t="s">
        <v>1226</v>
      </c>
      <c r="AF367" s="771" t="s">
        <v>653</v>
      </c>
      <c r="AG367" s="108"/>
      <c r="AH367" s="454" t="s">
        <v>418</v>
      </c>
      <c r="AI367" s="455">
        <v>109.02</v>
      </c>
      <c r="AJ367" s="724">
        <v>4.0813926135027052E-2</v>
      </c>
      <c r="AK367" s="725">
        <v>24</v>
      </c>
      <c r="AL367" s="726">
        <v>49926</v>
      </c>
      <c r="AM367" s="725">
        <v>12</v>
      </c>
      <c r="AN367" s="727">
        <v>0.52800000000000002</v>
      </c>
      <c r="AO367" s="725">
        <v>14</v>
      </c>
      <c r="AP367" s="727">
        <v>0.1</v>
      </c>
      <c r="AQ367" s="725">
        <v>12</v>
      </c>
      <c r="AR367" s="728">
        <v>0.71099999999999997</v>
      </c>
      <c r="AS367" s="729">
        <v>8</v>
      </c>
      <c r="AT367" s="728">
        <v>3.3000000000000002E-2</v>
      </c>
      <c r="AU367" s="730">
        <v>7</v>
      </c>
      <c r="AV367" s="731">
        <v>0.17199999999999999</v>
      </c>
      <c r="AW367" s="730">
        <v>8</v>
      </c>
      <c r="AX367" s="728">
        <v>5.5E-2</v>
      </c>
      <c r="AY367" s="730">
        <v>10</v>
      </c>
      <c r="AZ367" s="728">
        <v>0.03</v>
      </c>
      <c r="BA367" s="730">
        <v>9</v>
      </c>
      <c r="BB367" s="733">
        <v>0.20100000000000001</v>
      </c>
      <c r="BC367" s="730">
        <v>6</v>
      </c>
      <c r="BD367" s="6"/>
    </row>
    <row r="368" spans="7:56" s="704" customFormat="1" ht="15">
      <c r="G368" s="1546"/>
      <c r="W368" s="6"/>
      <c r="X368" s="87"/>
      <c r="Y368" s="87"/>
      <c r="Z368" s="739"/>
      <c r="AA368" s="739"/>
      <c r="AB368" s="743"/>
      <c r="AC368" s="108"/>
      <c r="AD368" s="108"/>
      <c r="AE368" s="770" t="s">
        <v>1227</v>
      </c>
      <c r="AF368" s="771" t="s">
        <v>1450</v>
      </c>
      <c r="AG368" s="108"/>
      <c r="AH368" s="454" t="s">
        <v>418</v>
      </c>
      <c r="AI368" s="455">
        <v>110</v>
      </c>
      <c r="AJ368" s="724">
        <v>4.0813926135027052E-2</v>
      </c>
      <c r="AK368" s="725">
        <v>24</v>
      </c>
      <c r="AL368" s="726">
        <v>49926</v>
      </c>
      <c r="AM368" s="725">
        <v>12</v>
      </c>
      <c r="AN368" s="727">
        <v>0.52800000000000002</v>
      </c>
      <c r="AO368" s="725">
        <v>14</v>
      </c>
      <c r="AP368" s="727">
        <v>0.1</v>
      </c>
      <c r="AQ368" s="725">
        <v>12</v>
      </c>
      <c r="AR368" s="728">
        <v>0.48599999999999999</v>
      </c>
      <c r="AS368" s="729">
        <v>6</v>
      </c>
      <c r="AT368" s="728">
        <v>4.0999999999999995E-2</v>
      </c>
      <c r="AU368" s="730">
        <v>7</v>
      </c>
      <c r="AV368" s="731">
        <v>0.25700000000000001</v>
      </c>
      <c r="AW368" s="730">
        <v>7</v>
      </c>
      <c r="AX368" s="728">
        <v>0.191</v>
      </c>
      <c r="AY368" s="730">
        <v>7</v>
      </c>
      <c r="AZ368" s="728">
        <v>0.126</v>
      </c>
      <c r="BA368" s="730">
        <v>6</v>
      </c>
      <c r="BB368" s="733">
        <v>0.23600000000000002</v>
      </c>
      <c r="BC368" s="730">
        <v>7</v>
      </c>
      <c r="BD368" s="6"/>
    </row>
    <row r="369" spans="7:56" s="704" customFormat="1" ht="15">
      <c r="G369" s="1546"/>
      <c r="W369" s="6"/>
      <c r="X369" s="87"/>
      <c r="Y369" s="87"/>
      <c r="Z369" s="739"/>
      <c r="AA369" s="739"/>
      <c r="AB369" s="743"/>
      <c r="AC369" s="108"/>
      <c r="AD369" s="108"/>
      <c r="AE369" s="770" t="s">
        <v>1228</v>
      </c>
      <c r="AF369" s="771" t="s">
        <v>1450</v>
      </c>
      <c r="AG369" s="108"/>
      <c r="AH369" s="454" t="s">
        <v>418</v>
      </c>
      <c r="AI369" s="455">
        <v>111</v>
      </c>
      <c r="AJ369" s="724">
        <v>4.0813926135027052E-2</v>
      </c>
      <c r="AK369" s="725">
        <v>24</v>
      </c>
      <c r="AL369" s="726">
        <v>49926</v>
      </c>
      <c r="AM369" s="725">
        <v>12</v>
      </c>
      <c r="AN369" s="727">
        <v>0.52800000000000002</v>
      </c>
      <c r="AO369" s="725">
        <v>14</v>
      </c>
      <c r="AP369" s="727">
        <v>0.1</v>
      </c>
      <c r="AQ369" s="725">
        <v>12</v>
      </c>
      <c r="AR369" s="728">
        <v>0.48299999999999998</v>
      </c>
      <c r="AS369" s="729">
        <v>5</v>
      </c>
      <c r="AT369" s="728">
        <v>5.0999999999999997E-2</v>
      </c>
      <c r="AU369" s="730">
        <v>6</v>
      </c>
      <c r="AV369" s="731">
        <v>0.159</v>
      </c>
      <c r="AW369" s="730">
        <v>8</v>
      </c>
      <c r="AX369" s="728">
        <v>0.129</v>
      </c>
      <c r="AY369" s="730">
        <v>8</v>
      </c>
      <c r="AZ369" s="728">
        <v>0.105</v>
      </c>
      <c r="BA369" s="730">
        <v>7</v>
      </c>
      <c r="BB369" s="733">
        <v>0.29699999999999999</v>
      </c>
      <c r="BC369" s="730">
        <v>8</v>
      </c>
      <c r="BD369" s="6"/>
    </row>
    <row r="370" spans="7:56" s="704" customFormat="1" ht="15">
      <c r="G370" s="1546"/>
      <c r="W370" s="6"/>
      <c r="X370" s="87"/>
      <c r="Y370" s="87"/>
      <c r="Z370" s="739"/>
      <c r="AA370" s="739"/>
      <c r="AB370" s="743"/>
      <c r="AC370" s="108"/>
      <c r="AD370" s="108"/>
      <c r="AE370" s="770" t="s">
        <v>1229</v>
      </c>
      <c r="AF370" s="771" t="s">
        <v>1450</v>
      </c>
      <c r="AG370" s="108"/>
      <c r="AH370" s="454" t="s">
        <v>418</v>
      </c>
      <c r="AI370" s="455">
        <v>112</v>
      </c>
      <c r="AJ370" s="724">
        <v>4.0813926135027052E-2</v>
      </c>
      <c r="AK370" s="725">
        <v>24</v>
      </c>
      <c r="AL370" s="726">
        <v>49926</v>
      </c>
      <c r="AM370" s="725">
        <v>12</v>
      </c>
      <c r="AN370" s="727">
        <v>0.52800000000000002</v>
      </c>
      <c r="AO370" s="725">
        <v>14</v>
      </c>
      <c r="AP370" s="727">
        <v>0.1</v>
      </c>
      <c r="AQ370" s="725">
        <v>12</v>
      </c>
      <c r="AR370" s="728">
        <v>0.58099999999999996</v>
      </c>
      <c r="AS370" s="729">
        <v>7</v>
      </c>
      <c r="AT370" s="728">
        <v>2.5000000000000001E-2</v>
      </c>
      <c r="AU370" s="730">
        <v>8</v>
      </c>
      <c r="AV370" s="731">
        <v>0.22500000000000001</v>
      </c>
      <c r="AW370" s="730">
        <v>8</v>
      </c>
      <c r="AX370" s="728">
        <v>0.20399999999999999</v>
      </c>
      <c r="AY370" s="730">
        <v>7</v>
      </c>
      <c r="AZ370" s="728">
        <v>9.3000000000000013E-2</v>
      </c>
      <c r="BA370" s="730">
        <v>7</v>
      </c>
      <c r="BB370" s="733">
        <v>7.0999999999999994E-2</v>
      </c>
      <c r="BC370" s="730">
        <v>2</v>
      </c>
      <c r="BD370" s="6"/>
    </row>
    <row r="371" spans="7:56" s="704" customFormat="1" ht="15">
      <c r="G371" s="1546"/>
      <c r="W371" s="6"/>
      <c r="X371" s="87"/>
      <c r="Y371" s="87"/>
      <c r="Z371" s="739"/>
      <c r="AA371" s="739"/>
      <c r="AB371" s="743"/>
      <c r="AC371" s="108"/>
      <c r="AD371" s="108"/>
      <c r="AE371" s="770" t="s">
        <v>1230</v>
      </c>
      <c r="AF371" s="771" t="s">
        <v>1450</v>
      </c>
      <c r="AG371" s="108"/>
      <c r="AH371" s="454" t="s">
        <v>418</v>
      </c>
      <c r="AI371" s="455">
        <v>113</v>
      </c>
      <c r="AJ371" s="724">
        <v>4.0813926135027052E-2</v>
      </c>
      <c r="AK371" s="725">
        <v>24</v>
      </c>
      <c r="AL371" s="726">
        <v>49926</v>
      </c>
      <c r="AM371" s="725">
        <v>12</v>
      </c>
      <c r="AN371" s="727">
        <v>0.52800000000000002</v>
      </c>
      <c r="AO371" s="725">
        <v>14</v>
      </c>
      <c r="AP371" s="727">
        <v>0.1</v>
      </c>
      <c r="AQ371" s="725">
        <v>12</v>
      </c>
      <c r="AR371" s="728">
        <v>0.80799999999999994</v>
      </c>
      <c r="AS371" s="729">
        <v>9</v>
      </c>
      <c r="AT371" s="728">
        <v>8.0000000000000002E-3</v>
      </c>
      <c r="AU371" s="730">
        <v>10</v>
      </c>
      <c r="AV371" s="731">
        <v>0.10199999999999999</v>
      </c>
      <c r="AW371" s="730">
        <v>9</v>
      </c>
      <c r="AX371" s="728">
        <v>0.16300000000000001</v>
      </c>
      <c r="AY371" s="730">
        <v>8</v>
      </c>
      <c r="AZ371" s="728">
        <v>8.199999999999999E-2</v>
      </c>
      <c r="BA371" s="730">
        <v>8</v>
      </c>
      <c r="BB371" s="733">
        <v>0.13400000000000001</v>
      </c>
      <c r="BC371" s="730">
        <v>4</v>
      </c>
      <c r="BD371" s="6"/>
    </row>
    <row r="372" spans="7:56" s="704" customFormat="1" ht="15">
      <c r="G372" s="1546"/>
      <c r="W372" s="6"/>
      <c r="X372" s="87"/>
      <c r="Y372" s="87"/>
      <c r="Z372" s="739"/>
      <c r="AA372" s="739"/>
      <c r="AB372" s="743"/>
      <c r="AC372" s="108"/>
      <c r="AD372" s="108"/>
      <c r="AE372" s="770" t="s">
        <v>1231</v>
      </c>
      <c r="AF372" s="771" t="s">
        <v>653</v>
      </c>
      <c r="AG372" s="108"/>
      <c r="AH372" s="454" t="s">
        <v>418</v>
      </c>
      <c r="AI372" s="455">
        <v>114</v>
      </c>
      <c r="AJ372" s="724">
        <v>4.0813926135027052E-2</v>
      </c>
      <c r="AK372" s="725">
        <v>24</v>
      </c>
      <c r="AL372" s="726">
        <v>49926</v>
      </c>
      <c r="AM372" s="725">
        <v>12</v>
      </c>
      <c r="AN372" s="727">
        <v>0.52800000000000002</v>
      </c>
      <c r="AO372" s="725">
        <v>14</v>
      </c>
      <c r="AP372" s="727">
        <v>0.1</v>
      </c>
      <c r="AQ372" s="725">
        <v>12</v>
      </c>
      <c r="AR372" s="728">
        <v>0.877</v>
      </c>
      <c r="AS372" s="729">
        <v>10</v>
      </c>
      <c r="AT372" s="728">
        <v>0.01</v>
      </c>
      <c r="AU372" s="730">
        <v>10</v>
      </c>
      <c r="AV372" s="731">
        <v>0.11800000000000001</v>
      </c>
      <c r="AW372" s="730">
        <v>9</v>
      </c>
      <c r="AX372" s="728">
        <v>7.4999999999999997E-2</v>
      </c>
      <c r="AY372" s="730">
        <v>9</v>
      </c>
      <c r="AZ372" s="728">
        <v>6.9000000000000006E-2</v>
      </c>
      <c r="BA372" s="730">
        <v>8</v>
      </c>
      <c r="BB372" s="733">
        <v>6.8000000000000005E-2</v>
      </c>
      <c r="BC372" s="730">
        <v>2</v>
      </c>
      <c r="BD372" s="6"/>
    </row>
    <row r="373" spans="7:56" s="704" customFormat="1" ht="15">
      <c r="G373" s="1546"/>
      <c r="W373" s="6"/>
      <c r="X373" s="87"/>
      <c r="Y373" s="87"/>
      <c r="Z373" s="739"/>
      <c r="AA373" s="739"/>
      <c r="AB373" s="743"/>
      <c r="AC373" s="108"/>
      <c r="AD373" s="108"/>
      <c r="AE373" s="770" t="s">
        <v>1232</v>
      </c>
      <c r="AF373" s="771" t="s">
        <v>1450</v>
      </c>
      <c r="AG373" s="108"/>
      <c r="AH373" s="454" t="s">
        <v>418</v>
      </c>
      <c r="AI373" s="455">
        <v>115</v>
      </c>
      <c r="AJ373" s="724">
        <v>4.0813926135027052E-2</v>
      </c>
      <c r="AK373" s="725">
        <v>24</v>
      </c>
      <c r="AL373" s="726">
        <v>49926</v>
      </c>
      <c r="AM373" s="725">
        <v>12</v>
      </c>
      <c r="AN373" s="727">
        <v>0.52800000000000002</v>
      </c>
      <c r="AO373" s="725">
        <v>14</v>
      </c>
      <c r="AP373" s="727">
        <v>0.1</v>
      </c>
      <c r="AQ373" s="725">
        <v>12</v>
      </c>
      <c r="AR373" s="728">
        <v>0.77400000000000002</v>
      </c>
      <c r="AS373" s="729">
        <v>9</v>
      </c>
      <c r="AT373" s="728">
        <v>2.6000000000000002E-2</v>
      </c>
      <c r="AU373" s="730">
        <v>8</v>
      </c>
      <c r="AV373" s="731">
        <v>0.157</v>
      </c>
      <c r="AW373" s="730">
        <v>8</v>
      </c>
      <c r="AX373" s="728">
        <v>0.106</v>
      </c>
      <c r="AY373" s="730">
        <v>9</v>
      </c>
      <c r="AZ373" s="728">
        <v>2.3E-2</v>
      </c>
      <c r="BA373" s="730">
        <v>10</v>
      </c>
      <c r="BB373" s="733">
        <v>0.13100000000000001</v>
      </c>
      <c r="BC373" s="730">
        <v>4</v>
      </c>
      <c r="BD373" s="6"/>
    </row>
    <row r="374" spans="7:56" s="704" customFormat="1" ht="15">
      <c r="G374" s="1546"/>
      <c r="W374" s="6"/>
      <c r="X374" s="87"/>
      <c r="Y374" s="87"/>
      <c r="Z374" s="739"/>
      <c r="AA374" s="739"/>
      <c r="AB374" s="743"/>
      <c r="AC374" s="108"/>
      <c r="AD374" s="108"/>
      <c r="AE374" s="770" t="s">
        <v>1233</v>
      </c>
      <c r="AF374" s="771" t="s">
        <v>653</v>
      </c>
      <c r="AG374" s="108"/>
      <c r="AH374" s="454" t="s">
        <v>418</v>
      </c>
      <c r="AI374" s="455">
        <v>116</v>
      </c>
      <c r="AJ374" s="724">
        <v>4.0813926135027052E-2</v>
      </c>
      <c r="AK374" s="725">
        <v>24</v>
      </c>
      <c r="AL374" s="726">
        <v>49926</v>
      </c>
      <c r="AM374" s="725">
        <v>12</v>
      </c>
      <c r="AN374" s="727">
        <v>0.52800000000000002</v>
      </c>
      <c r="AO374" s="725">
        <v>14</v>
      </c>
      <c r="AP374" s="727">
        <v>0.1</v>
      </c>
      <c r="AQ374" s="725">
        <v>12</v>
      </c>
      <c r="AR374" s="728">
        <v>0.56100000000000005</v>
      </c>
      <c r="AS374" s="729">
        <v>6</v>
      </c>
      <c r="AT374" s="728">
        <v>2.1000000000000001E-2</v>
      </c>
      <c r="AU374" s="730">
        <v>9</v>
      </c>
      <c r="AV374" s="731">
        <v>0.13200000000000001</v>
      </c>
      <c r="AW374" s="730">
        <v>9</v>
      </c>
      <c r="AX374" s="728">
        <v>0.11599999999999999</v>
      </c>
      <c r="AY374" s="730">
        <v>9</v>
      </c>
      <c r="AZ374" s="728">
        <v>6.2E-2</v>
      </c>
      <c r="BA374" s="730">
        <v>8</v>
      </c>
      <c r="BB374" s="733">
        <v>0.248</v>
      </c>
      <c r="BC374" s="730">
        <v>7</v>
      </c>
      <c r="BD374" s="6"/>
    </row>
    <row r="375" spans="7:56" s="704" customFormat="1" ht="15">
      <c r="G375" s="1546"/>
      <c r="W375" s="6"/>
      <c r="X375" s="87"/>
      <c r="Y375" s="87"/>
      <c r="Z375" s="739"/>
      <c r="AA375" s="739"/>
      <c r="AB375" s="743"/>
      <c r="AC375" s="108"/>
      <c r="AD375" s="108"/>
      <c r="AE375" s="770" t="s">
        <v>1234</v>
      </c>
      <c r="AF375" s="771" t="s">
        <v>1450</v>
      </c>
      <c r="AG375" s="108"/>
      <c r="AH375" s="454" t="s">
        <v>418</v>
      </c>
      <c r="AI375" s="455">
        <v>117</v>
      </c>
      <c r="AJ375" s="724">
        <v>4.0813926135027052E-2</v>
      </c>
      <c r="AK375" s="725">
        <v>24</v>
      </c>
      <c r="AL375" s="726">
        <v>49926</v>
      </c>
      <c r="AM375" s="725">
        <v>12</v>
      </c>
      <c r="AN375" s="727">
        <v>0.52800000000000002</v>
      </c>
      <c r="AO375" s="725">
        <v>14</v>
      </c>
      <c r="AP375" s="727">
        <v>0.1</v>
      </c>
      <c r="AQ375" s="725">
        <v>12</v>
      </c>
      <c r="AR375" s="728">
        <v>0.67200000000000004</v>
      </c>
      <c r="AS375" s="729">
        <v>8</v>
      </c>
      <c r="AT375" s="728">
        <v>0.105</v>
      </c>
      <c r="AU375" s="730">
        <v>1</v>
      </c>
      <c r="AV375" s="731">
        <v>8.5000000000000006E-2</v>
      </c>
      <c r="AW375" s="730">
        <v>9</v>
      </c>
      <c r="AX375" s="728">
        <v>0.109</v>
      </c>
      <c r="AY375" s="730">
        <v>9</v>
      </c>
      <c r="AZ375" s="728">
        <v>4.2000000000000003E-2</v>
      </c>
      <c r="BA375" s="730">
        <v>9</v>
      </c>
      <c r="BB375" s="733">
        <v>0.24100000000000002</v>
      </c>
      <c r="BC375" s="730">
        <v>7</v>
      </c>
      <c r="BD375" s="6"/>
    </row>
    <row r="376" spans="7:56" s="704" customFormat="1" ht="15">
      <c r="G376" s="1546"/>
      <c r="W376" s="6"/>
      <c r="X376" s="87"/>
      <c r="Y376" s="87"/>
      <c r="Z376" s="739"/>
      <c r="AA376" s="739"/>
      <c r="AB376" s="743"/>
      <c r="AC376" s="108"/>
      <c r="AD376" s="108"/>
      <c r="AE376" s="770" t="s">
        <v>2566</v>
      </c>
      <c r="AF376" s="771" t="s">
        <v>1450</v>
      </c>
      <c r="AG376" s="108"/>
      <c r="AH376" s="454" t="s">
        <v>418</v>
      </c>
      <c r="AI376" s="455">
        <v>118.03</v>
      </c>
      <c r="AJ376" s="724">
        <v>4.0813926135027052E-2</v>
      </c>
      <c r="AK376" s="725">
        <v>24</v>
      </c>
      <c r="AL376" s="726">
        <v>49926</v>
      </c>
      <c r="AM376" s="725">
        <v>12</v>
      </c>
      <c r="AN376" s="727">
        <v>0.52800000000000002</v>
      </c>
      <c r="AO376" s="725">
        <v>14</v>
      </c>
      <c r="AP376" s="727">
        <v>0.1</v>
      </c>
      <c r="AQ376" s="725">
        <v>12</v>
      </c>
      <c r="AR376" s="728">
        <v>0.83900000000000008</v>
      </c>
      <c r="AS376" s="729">
        <v>9</v>
      </c>
      <c r="AT376" s="728">
        <v>6.9999999999999993E-3</v>
      </c>
      <c r="AU376" s="730">
        <v>10</v>
      </c>
      <c r="AV376" s="731">
        <v>8.1000000000000003E-2</v>
      </c>
      <c r="AW376" s="730">
        <v>9</v>
      </c>
      <c r="AX376" s="728">
        <v>0.10400000000000001</v>
      </c>
      <c r="AY376" s="730">
        <v>9</v>
      </c>
      <c r="AZ376" s="728">
        <v>4.5999999999999999E-2</v>
      </c>
      <c r="BA376" s="730">
        <v>9</v>
      </c>
      <c r="BB376" s="733">
        <v>0.17300000000000001</v>
      </c>
      <c r="BC376" s="730">
        <v>5</v>
      </c>
      <c r="BD376" s="6"/>
    </row>
    <row r="377" spans="7:56" s="704" customFormat="1" ht="15">
      <c r="G377" s="1546"/>
      <c r="W377" s="6"/>
      <c r="X377" s="87"/>
      <c r="Y377" s="87"/>
      <c r="Z377" s="739"/>
      <c r="AA377" s="739"/>
      <c r="AB377" s="743"/>
      <c r="AC377" s="108"/>
      <c r="AD377" s="108"/>
      <c r="AE377" s="770" t="s">
        <v>1235</v>
      </c>
      <c r="AF377" s="771" t="s">
        <v>653</v>
      </c>
      <c r="AG377" s="108"/>
      <c r="AH377" s="454" t="s">
        <v>418</v>
      </c>
      <c r="AI377" s="455">
        <v>118.04</v>
      </c>
      <c r="AJ377" s="724">
        <v>4.0813926135027052E-2</v>
      </c>
      <c r="AK377" s="725">
        <v>24</v>
      </c>
      <c r="AL377" s="726">
        <v>49926</v>
      </c>
      <c r="AM377" s="725">
        <v>12</v>
      </c>
      <c r="AN377" s="727">
        <v>0.52800000000000002</v>
      </c>
      <c r="AO377" s="725">
        <v>14</v>
      </c>
      <c r="AP377" s="727">
        <v>0.1</v>
      </c>
      <c r="AQ377" s="725">
        <v>12</v>
      </c>
      <c r="AR377" s="728">
        <v>0.84200000000000008</v>
      </c>
      <c r="AS377" s="729">
        <v>9</v>
      </c>
      <c r="AT377" s="728">
        <v>2.4E-2</v>
      </c>
      <c r="AU377" s="730">
        <v>8</v>
      </c>
      <c r="AV377" s="731">
        <v>0.10800000000000001</v>
      </c>
      <c r="AW377" s="730">
        <v>9</v>
      </c>
      <c r="AX377" s="728">
        <v>8.8000000000000009E-2</v>
      </c>
      <c r="AY377" s="730">
        <v>9</v>
      </c>
      <c r="AZ377" s="728">
        <v>6.9999999999999993E-3</v>
      </c>
      <c r="BA377" s="730">
        <v>10</v>
      </c>
      <c r="BB377" s="733">
        <v>0.17300000000000001</v>
      </c>
      <c r="BC377" s="730">
        <v>5</v>
      </c>
      <c r="BD377" s="6"/>
    </row>
    <row r="378" spans="7:56" s="704" customFormat="1" ht="15">
      <c r="G378" s="1546"/>
      <c r="W378" s="6"/>
      <c r="X378" s="87"/>
      <c r="Y378" s="87"/>
      <c r="Z378" s="739"/>
      <c r="AA378" s="739"/>
      <c r="AB378" s="743"/>
      <c r="AC378" s="108"/>
      <c r="AD378" s="108"/>
      <c r="AE378" s="770" t="s">
        <v>1236</v>
      </c>
      <c r="AF378" s="771" t="s">
        <v>1450</v>
      </c>
      <c r="AG378" s="108"/>
      <c r="AH378" s="454" t="s">
        <v>418</v>
      </c>
      <c r="AI378" s="455">
        <v>118.05</v>
      </c>
      <c r="AJ378" s="724">
        <v>4.0813926135027052E-2</v>
      </c>
      <c r="AK378" s="725">
        <v>24</v>
      </c>
      <c r="AL378" s="726">
        <v>49926</v>
      </c>
      <c r="AM378" s="725">
        <v>12</v>
      </c>
      <c r="AN378" s="727">
        <v>0.52800000000000002</v>
      </c>
      <c r="AO378" s="725">
        <v>14</v>
      </c>
      <c r="AP378" s="727">
        <v>0.1</v>
      </c>
      <c r="AQ378" s="725">
        <v>12</v>
      </c>
      <c r="AR378" s="728">
        <v>0.83599999999999997</v>
      </c>
      <c r="AS378" s="729">
        <v>9</v>
      </c>
      <c r="AT378" s="728">
        <v>1.8000000000000002E-2</v>
      </c>
      <c r="AU378" s="730">
        <v>9</v>
      </c>
      <c r="AV378" s="731">
        <v>8.5999999999999993E-2</v>
      </c>
      <c r="AW378" s="730">
        <v>9</v>
      </c>
      <c r="AX378" s="728">
        <v>0.106</v>
      </c>
      <c r="AY378" s="730">
        <v>9</v>
      </c>
      <c r="AZ378" s="728">
        <v>5.7999999999999996E-2</v>
      </c>
      <c r="BA378" s="730">
        <v>9</v>
      </c>
      <c r="BB378" s="733">
        <v>0.27100000000000002</v>
      </c>
      <c r="BC378" s="730">
        <v>8</v>
      </c>
      <c r="BD378" s="6"/>
    </row>
    <row r="379" spans="7:56" s="704" customFormat="1" ht="15">
      <c r="G379" s="1546"/>
      <c r="W379" s="6"/>
      <c r="X379" s="87"/>
      <c r="Y379" s="87"/>
      <c r="Z379" s="739"/>
      <c r="AA379" s="739"/>
      <c r="AB379" s="743"/>
      <c r="AC379" s="108"/>
      <c r="AD379" s="108"/>
      <c r="AE379" s="770" t="s">
        <v>1237</v>
      </c>
      <c r="AF379" s="771" t="s">
        <v>1450</v>
      </c>
      <c r="AG379" s="108"/>
      <c r="AH379" s="454" t="s">
        <v>418</v>
      </c>
      <c r="AI379" s="455">
        <v>118.06</v>
      </c>
      <c r="AJ379" s="724">
        <v>4.0813926135027052E-2</v>
      </c>
      <c r="AK379" s="725">
        <v>24</v>
      </c>
      <c r="AL379" s="726">
        <v>49926</v>
      </c>
      <c r="AM379" s="725">
        <v>12</v>
      </c>
      <c r="AN379" s="727">
        <v>0.52800000000000002</v>
      </c>
      <c r="AO379" s="725">
        <v>14</v>
      </c>
      <c r="AP379" s="727">
        <v>0.1</v>
      </c>
      <c r="AQ379" s="725">
        <v>12</v>
      </c>
      <c r="AR379" s="728">
        <v>0.88</v>
      </c>
      <c r="AS379" s="729">
        <v>10</v>
      </c>
      <c r="AT379" s="728">
        <v>0</v>
      </c>
      <c r="AU379" s="730">
        <v>10</v>
      </c>
      <c r="AV379" s="731">
        <v>8.1000000000000003E-2</v>
      </c>
      <c r="AW379" s="730">
        <v>9</v>
      </c>
      <c r="AX379" s="728">
        <v>3.6000000000000004E-2</v>
      </c>
      <c r="AY379" s="730">
        <v>10</v>
      </c>
      <c r="AZ379" s="728">
        <v>1.1000000000000001E-2</v>
      </c>
      <c r="BA379" s="730">
        <v>10</v>
      </c>
      <c r="BB379" s="733">
        <v>0.308</v>
      </c>
      <c r="BC379" s="730">
        <v>9</v>
      </c>
      <c r="BD379" s="6"/>
    </row>
    <row r="380" spans="7:56" s="704" customFormat="1" ht="15">
      <c r="G380" s="1546"/>
      <c r="W380" s="6"/>
      <c r="X380" s="87"/>
      <c r="Y380" s="87"/>
      <c r="Z380" s="739"/>
      <c r="AA380" s="739"/>
      <c r="AB380" s="743"/>
      <c r="AC380" s="108"/>
      <c r="AD380" s="108"/>
      <c r="AE380" s="770" t="s">
        <v>1238</v>
      </c>
      <c r="AF380" s="771" t="s">
        <v>1450</v>
      </c>
      <c r="AG380" s="108"/>
      <c r="AH380" s="454" t="s">
        <v>418</v>
      </c>
      <c r="AI380" s="455">
        <v>119</v>
      </c>
      <c r="AJ380" s="724">
        <v>4.0813926135027052E-2</v>
      </c>
      <c r="AK380" s="725">
        <v>24</v>
      </c>
      <c r="AL380" s="726">
        <v>49926</v>
      </c>
      <c r="AM380" s="725">
        <v>12</v>
      </c>
      <c r="AN380" s="727">
        <v>0.52800000000000002</v>
      </c>
      <c r="AO380" s="725">
        <v>14</v>
      </c>
      <c r="AP380" s="727">
        <v>0.1</v>
      </c>
      <c r="AQ380" s="725">
        <v>12</v>
      </c>
      <c r="AR380" s="728">
        <v>0.86900000000000011</v>
      </c>
      <c r="AS380" s="729">
        <v>10</v>
      </c>
      <c r="AT380" s="728">
        <v>1.7000000000000001E-2</v>
      </c>
      <c r="AU380" s="730">
        <v>9</v>
      </c>
      <c r="AV380" s="731">
        <v>4.8000000000000001E-2</v>
      </c>
      <c r="AW380" s="730">
        <v>10</v>
      </c>
      <c r="AX380" s="728">
        <v>5.4000000000000006E-2</v>
      </c>
      <c r="AY380" s="730">
        <v>10</v>
      </c>
      <c r="AZ380" s="728">
        <v>2.2000000000000002E-2</v>
      </c>
      <c r="BA380" s="730">
        <v>10</v>
      </c>
      <c r="BB380" s="733">
        <v>0.18600000000000003</v>
      </c>
      <c r="BC380" s="730">
        <v>5</v>
      </c>
      <c r="BD380" s="6"/>
    </row>
    <row r="381" spans="7:56" s="704" customFormat="1" ht="15">
      <c r="G381" s="1546"/>
      <c r="W381" s="6"/>
      <c r="X381" s="87"/>
      <c r="Y381" s="87"/>
      <c r="Z381" s="739"/>
      <c r="AA381" s="739"/>
      <c r="AB381" s="743"/>
      <c r="AC381" s="108"/>
      <c r="AD381" s="108"/>
      <c r="AE381" s="770" t="s">
        <v>1239</v>
      </c>
      <c r="AF381" s="771" t="s">
        <v>1450</v>
      </c>
      <c r="AG381" s="108"/>
      <c r="AH381" s="454" t="s">
        <v>418</v>
      </c>
      <c r="AI381" s="455">
        <v>120</v>
      </c>
      <c r="AJ381" s="724">
        <v>4.0813926135027052E-2</v>
      </c>
      <c r="AK381" s="725">
        <v>24</v>
      </c>
      <c r="AL381" s="726">
        <v>49926</v>
      </c>
      <c r="AM381" s="725">
        <v>12</v>
      </c>
      <c r="AN381" s="727">
        <v>0.52800000000000002</v>
      </c>
      <c r="AO381" s="725">
        <v>14</v>
      </c>
      <c r="AP381" s="727">
        <v>0.1</v>
      </c>
      <c r="AQ381" s="725">
        <v>12</v>
      </c>
      <c r="AR381" s="728">
        <v>0.53400000000000003</v>
      </c>
      <c r="AS381" s="729">
        <v>6</v>
      </c>
      <c r="AT381" s="728">
        <v>3.9E-2</v>
      </c>
      <c r="AU381" s="730">
        <v>7</v>
      </c>
      <c r="AV381" s="731">
        <v>0.2</v>
      </c>
      <c r="AW381" s="730">
        <v>8</v>
      </c>
      <c r="AX381" s="728">
        <v>3.9E-2</v>
      </c>
      <c r="AY381" s="730">
        <v>10</v>
      </c>
      <c r="AZ381" s="728">
        <v>4.2000000000000003E-2</v>
      </c>
      <c r="BA381" s="730">
        <v>9</v>
      </c>
      <c r="BB381" s="733">
        <v>0.24</v>
      </c>
      <c r="BC381" s="730">
        <v>7</v>
      </c>
      <c r="BD381" s="6"/>
    </row>
    <row r="382" spans="7:56" s="704" customFormat="1" ht="15">
      <c r="G382" s="1546"/>
      <c r="W382" s="6"/>
      <c r="X382" s="87"/>
      <c r="Y382" s="87"/>
      <c r="Z382" s="739"/>
      <c r="AA382" s="739"/>
      <c r="AB382" s="743"/>
      <c r="AC382" s="108"/>
      <c r="AD382" s="108"/>
      <c r="AE382" s="770" t="s">
        <v>2567</v>
      </c>
      <c r="AF382" s="771" t="s">
        <v>1450</v>
      </c>
      <c r="AG382" s="108"/>
      <c r="AH382" s="454" t="s">
        <v>450</v>
      </c>
      <c r="AI382" s="455">
        <v>9501</v>
      </c>
      <c r="AJ382" s="724">
        <v>3.4722222222222224E-2</v>
      </c>
      <c r="AK382" s="725">
        <v>24</v>
      </c>
      <c r="AL382" s="726">
        <v>36493</v>
      </c>
      <c r="AM382" s="725">
        <v>18</v>
      </c>
      <c r="AN382" s="727">
        <v>0.34100000000000003</v>
      </c>
      <c r="AO382" s="725">
        <v>6</v>
      </c>
      <c r="AP382" s="727">
        <v>0.06</v>
      </c>
      <c r="AQ382" s="725">
        <v>14</v>
      </c>
      <c r="AR382" s="728">
        <v>0.84900000000000009</v>
      </c>
      <c r="AS382" s="729">
        <v>9</v>
      </c>
      <c r="AT382" s="728">
        <v>0</v>
      </c>
      <c r="AU382" s="730">
        <v>10</v>
      </c>
      <c r="AV382" s="731">
        <v>0.14699999999999999</v>
      </c>
      <c r="AW382" s="730">
        <v>9</v>
      </c>
      <c r="AX382" s="728">
        <v>0.154</v>
      </c>
      <c r="AY382" s="730">
        <v>8</v>
      </c>
      <c r="AZ382" s="728">
        <v>0.05</v>
      </c>
      <c r="BA382" s="730">
        <v>9</v>
      </c>
      <c r="BB382" s="733">
        <v>4.4000000000000004E-2</v>
      </c>
      <c r="BC382" s="730">
        <v>2</v>
      </c>
      <c r="BD382" s="6"/>
    </row>
    <row r="383" spans="7:56" s="704" customFormat="1" ht="15">
      <c r="G383" s="1546"/>
      <c r="W383" s="6"/>
      <c r="X383" s="87"/>
      <c r="Y383" s="87"/>
      <c r="Z383" s="739"/>
      <c r="AA383" s="739"/>
      <c r="AB383" s="743"/>
      <c r="AC383" s="108"/>
      <c r="AD383" s="108"/>
      <c r="AE383" s="770" t="s">
        <v>1240</v>
      </c>
      <c r="AF383" s="771" t="s">
        <v>653</v>
      </c>
      <c r="AG383" s="108"/>
      <c r="AH383" s="454" t="s">
        <v>450</v>
      </c>
      <c r="AI383" s="455">
        <v>9502</v>
      </c>
      <c r="AJ383" s="724">
        <v>3.4722222222222224E-2</v>
      </c>
      <c r="AK383" s="725">
        <v>24</v>
      </c>
      <c r="AL383" s="726">
        <v>36493</v>
      </c>
      <c r="AM383" s="725">
        <v>18</v>
      </c>
      <c r="AN383" s="727">
        <v>0.34100000000000003</v>
      </c>
      <c r="AO383" s="725">
        <v>6</v>
      </c>
      <c r="AP383" s="727">
        <v>0.06</v>
      </c>
      <c r="AQ383" s="725">
        <v>14</v>
      </c>
      <c r="AR383" s="728">
        <v>0.82099999999999995</v>
      </c>
      <c r="AS383" s="729">
        <v>9</v>
      </c>
      <c r="AT383" s="728">
        <v>0</v>
      </c>
      <c r="AU383" s="730">
        <v>10</v>
      </c>
      <c r="AV383" s="731">
        <v>0.17800000000000002</v>
      </c>
      <c r="AW383" s="730">
        <v>8</v>
      </c>
      <c r="AX383" s="728">
        <v>0.17300000000000001</v>
      </c>
      <c r="AY383" s="730">
        <v>8</v>
      </c>
      <c r="AZ383" s="728">
        <v>8.4000000000000005E-2</v>
      </c>
      <c r="BA383" s="730">
        <v>8</v>
      </c>
      <c r="BB383" s="733">
        <v>0.10099999999999999</v>
      </c>
      <c r="BC383" s="730">
        <v>3</v>
      </c>
      <c r="BD383" s="6"/>
    </row>
    <row r="384" spans="7:56" s="704" customFormat="1" ht="15">
      <c r="G384" s="1546"/>
      <c r="W384" s="6"/>
      <c r="X384" s="87"/>
      <c r="Y384" s="87"/>
      <c r="Z384" s="739"/>
      <c r="AA384" s="739"/>
      <c r="AB384" s="743"/>
      <c r="AC384" s="108"/>
      <c r="AD384" s="108"/>
      <c r="AE384" s="770" t="s">
        <v>2791</v>
      </c>
      <c r="AF384" s="771" t="s">
        <v>1450</v>
      </c>
      <c r="AG384" s="108"/>
      <c r="AH384" s="454" t="s">
        <v>450</v>
      </c>
      <c r="AI384" s="455">
        <v>9503</v>
      </c>
      <c r="AJ384" s="724">
        <v>3.4722222222222224E-2</v>
      </c>
      <c r="AK384" s="725">
        <v>24</v>
      </c>
      <c r="AL384" s="726">
        <v>36493</v>
      </c>
      <c r="AM384" s="725">
        <v>18</v>
      </c>
      <c r="AN384" s="727">
        <v>0.34100000000000003</v>
      </c>
      <c r="AO384" s="725">
        <v>6</v>
      </c>
      <c r="AP384" s="727">
        <v>0.06</v>
      </c>
      <c r="AQ384" s="725">
        <v>14</v>
      </c>
      <c r="AR384" s="728">
        <v>0.755</v>
      </c>
      <c r="AS384" s="729">
        <v>8</v>
      </c>
      <c r="AT384" s="728">
        <v>2.1000000000000001E-2</v>
      </c>
      <c r="AU384" s="730">
        <v>9</v>
      </c>
      <c r="AV384" s="731">
        <v>0.16399999999999998</v>
      </c>
      <c r="AW384" s="730">
        <v>8</v>
      </c>
      <c r="AX384" s="728">
        <v>0.17</v>
      </c>
      <c r="AY384" s="730">
        <v>8</v>
      </c>
      <c r="AZ384" s="728">
        <v>7.6999999999999999E-2</v>
      </c>
      <c r="BA384" s="730">
        <v>8</v>
      </c>
      <c r="BB384" s="733">
        <v>0.10199999999999999</v>
      </c>
      <c r="BC384" s="730">
        <v>3</v>
      </c>
      <c r="BD384" s="6"/>
    </row>
    <row r="385" spans="7:56" s="704" customFormat="1" ht="15">
      <c r="G385" s="1546"/>
      <c r="W385" s="6"/>
      <c r="X385" s="87"/>
      <c r="Y385" s="87"/>
      <c r="Z385" s="739"/>
      <c r="AA385" s="739"/>
      <c r="AB385" s="743"/>
      <c r="AC385" s="108"/>
      <c r="AD385" s="108"/>
      <c r="AE385" s="770" t="s">
        <v>2792</v>
      </c>
      <c r="AF385" s="771" t="s">
        <v>1450</v>
      </c>
      <c r="AG385" s="108"/>
      <c r="AH385" s="454" t="s">
        <v>451</v>
      </c>
      <c r="AI385" s="455">
        <v>9707</v>
      </c>
      <c r="AJ385" s="724">
        <v>4.9450549450549448E-2</v>
      </c>
      <c r="AK385" s="725">
        <v>21</v>
      </c>
      <c r="AL385" s="726">
        <v>50661</v>
      </c>
      <c r="AM385" s="725">
        <v>12</v>
      </c>
      <c r="AN385" s="727">
        <v>0.45200000000000001</v>
      </c>
      <c r="AO385" s="725">
        <v>10</v>
      </c>
      <c r="AP385" s="727">
        <v>0.16699999999999998</v>
      </c>
      <c r="AQ385" s="725">
        <v>4</v>
      </c>
      <c r="AR385" s="728">
        <v>0.91599999999999993</v>
      </c>
      <c r="AS385" s="729">
        <v>10</v>
      </c>
      <c r="AT385" s="728">
        <v>0</v>
      </c>
      <c r="AU385" s="730">
        <v>10</v>
      </c>
      <c r="AV385" s="731">
        <v>4.8000000000000001E-2</v>
      </c>
      <c r="AW385" s="730">
        <v>10</v>
      </c>
      <c r="AX385" s="728">
        <v>8.900000000000001E-2</v>
      </c>
      <c r="AY385" s="730">
        <v>9</v>
      </c>
      <c r="AZ385" s="728">
        <v>6.3E-2</v>
      </c>
      <c r="BA385" s="730">
        <v>8</v>
      </c>
      <c r="BB385" s="733">
        <v>0.11199999999999999</v>
      </c>
      <c r="BC385" s="730">
        <v>3</v>
      </c>
      <c r="BD385" s="6"/>
    </row>
    <row r="386" spans="7:56" s="704" customFormat="1" ht="15">
      <c r="G386" s="1546"/>
      <c r="W386" s="6"/>
      <c r="X386" s="87"/>
      <c r="Y386" s="87"/>
      <c r="Z386" s="739"/>
      <c r="AA386" s="739"/>
      <c r="AB386" s="743"/>
      <c r="AC386" s="108"/>
      <c r="AD386" s="108"/>
      <c r="AE386" s="770" t="s">
        <v>2568</v>
      </c>
      <c r="AF386" s="771" t="s">
        <v>653</v>
      </c>
      <c r="AG386" s="108"/>
      <c r="AH386" s="454" t="s">
        <v>451</v>
      </c>
      <c r="AI386" s="455">
        <v>9708</v>
      </c>
      <c r="AJ386" s="724">
        <v>4.9450549450549448E-2</v>
      </c>
      <c r="AK386" s="725">
        <v>21</v>
      </c>
      <c r="AL386" s="726">
        <v>50661</v>
      </c>
      <c r="AM386" s="725">
        <v>12</v>
      </c>
      <c r="AN386" s="727">
        <v>0.45200000000000001</v>
      </c>
      <c r="AO386" s="725">
        <v>10</v>
      </c>
      <c r="AP386" s="727">
        <v>0.16699999999999998</v>
      </c>
      <c r="AQ386" s="725">
        <v>4</v>
      </c>
      <c r="AR386" s="728">
        <v>0.628</v>
      </c>
      <c r="AS386" s="729">
        <v>7</v>
      </c>
      <c r="AT386" s="728">
        <v>5.2999999999999999E-2</v>
      </c>
      <c r="AU386" s="730">
        <v>6</v>
      </c>
      <c r="AV386" s="731">
        <v>0.16</v>
      </c>
      <c r="AW386" s="730">
        <v>8</v>
      </c>
      <c r="AX386" s="728">
        <v>0.21899999999999997</v>
      </c>
      <c r="AY386" s="730">
        <v>7</v>
      </c>
      <c r="AZ386" s="728">
        <v>3.4000000000000002E-2</v>
      </c>
      <c r="BA386" s="730">
        <v>9</v>
      </c>
      <c r="BB386" s="733">
        <v>0.10199999999999999</v>
      </c>
      <c r="BC386" s="730">
        <v>3</v>
      </c>
      <c r="BD386" s="6"/>
    </row>
    <row r="387" spans="7:56" s="704" customFormat="1" ht="15">
      <c r="G387" s="1546"/>
      <c r="W387" s="6"/>
      <c r="X387" s="87"/>
      <c r="Y387" s="87"/>
      <c r="Z387" s="739"/>
      <c r="AA387" s="739"/>
      <c r="AB387" s="743"/>
      <c r="AC387" s="108"/>
      <c r="AD387" s="108"/>
      <c r="AE387" s="770" t="s">
        <v>1241</v>
      </c>
      <c r="AF387" s="771" t="s">
        <v>653</v>
      </c>
      <c r="AG387" s="108"/>
      <c r="AH387" s="454" t="s">
        <v>451</v>
      </c>
      <c r="AI387" s="455">
        <v>9709</v>
      </c>
      <c r="AJ387" s="724">
        <v>4.9450549450549448E-2</v>
      </c>
      <c r="AK387" s="725">
        <v>21</v>
      </c>
      <c r="AL387" s="726">
        <v>50661</v>
      </c>
      <c r="AM387" s="725">
        <v>12</v>
      </c>
      <c r="AN387" s="727">
        <v>0.45200000000000001</v>
      </c>
      <c r="AO387" s="725">
        <v>10</v>
      </c>
      <c r="AP387" s="727">
        <v>0.16699999999999998</v>
      </c>
      <c r="AQ387" s="725">
        <v>4</v>
      </c>
      <c r="AR387" s="728">
        <v>0.78500000000000003</v>
      </c>
      <c r="AS387" s="729">
        <v>9</v>
      </c>
      <c r="AT387" s="728">
        <v>4.9000000000000002E-2</v>
      </c>
      <c r="AU387" s="730">
        <v>6</v>
      </c>
      <c r="AV387" s="731">
        <v>0.14899999999999999</v>
      </c>
      <c r="AW387" s="730">
        <v>9</v>
      </c>
      <c r="AX387" s="728">
        <v>0.26</v>
      </c>
      <c r="AY387" s="730">
        <v>6</v>
      </c>
      <c r="AZ387" s="728">
        <v>0.18899999999999997</v>
      </c>
      <c r="BA387" s="730">
        <v>4</v>
      </c>
      <c r="BB387" s="733">
        <v>8.4000000000000005E-2</v>
      </c>
      <c r="BC387" s="730">
        <v>3</v>
      </c>
      <c r="BD387" s="6"/>
    </row>
    <row r="388" spans="7:56" s="704" customFormat="1" ht="15">
      <c r="G388" s="1546"/>
      <c r="W388" s="6"/>
      <c r="X388" s="87"/>
      <c r="Y388" s="87"/>
      <c r="Z388" s="739"/>
      <c r="AA388" s="739"/>
      <c r="AB388" s="743"/>
      <c r="AC388" s="108"/>
      <c r="AD388" s="108"/>
      <c r="AE388" s="770" t="s">
        <v>2569</v>
      </c>
      <c r="AF388" s="771" t="s">
        <v>653</v>
      </c>
      <c r="AG388" s="108"/>
      <c r="AH388" s="454" t="s">
        <v>451</v>
      </c>
      <c r="AI388" s="455">
        <v>9710</v>
      </c>
      <c r="AJ388" s="724">
        <v>4.9450549450549448E-2</v>
      </c>
      <c r="AK388" s="725">
        <v>21</v>
      </c>
      <c r="AL388" s="726">
        <v>50661</v>
      </c>
      <c r="AM388" s="725">
        <v>12</v>
      </c>
      <c r="AN388" s="727">
        <v>0.45200000000000001</v>
      </c>
      <c r="AO388" s="725">
        <v>10</v>
      </c>
      <c r="AP388" s="727">
        <v>0.16699999999999998</v>
      </c>
      <c r="AQ388" s="725">
        <v>4</v>
      </c>
      <c r="AR388" s="728">
        <v>0.88099999999999989</v>
      </c>
      <c r="AS388" s="729">
        <v>10</v>
      </c>
      <c r="AT388" s="728">
        <v>2E-3</v>
      </c>
      <c r="AU388" s="730">
        <v>10</v>
      </c>
      <c r="AV388" s="731">
        <v>0.04</v>
      </c>
      <c r="AW388" s="730">
        <v>10</v>
      </c>
      <c r="AX388" s="728">
        <v>5.7999999999999996E-2</v>
      </c>
      <c r="AY388" s="730">
        <v>10</v>
      </c>
      <c r="AZ388" s="728">
        <v>4.0999999999999995E-2</v>
      </c>
      <c r="BA388" s="730">
        <v>9</v>
      </c>
      <c r="BB388" s="733">
        <v>7.5999999999999998E-2</v>
      </c>
      <c r="BC388" s="730">
        <v>2</v>
      </c>
      <c r="BD388" s="6"/>
    </row>
    <row r="389" spans="7:56" s="704" customFormat="1" ht="15">
      <c r="G389" s="1546"/>
      <c r="W389" s="6"/>
      <c r="X389" s="87"/>
      <c r="Y389" s="87"/>
      <c r="Z389" s="739"/>
      <c r="AA389" s="739"/>
      <c r="AB389" s="743"/>
      <c r="AC389" s="108"/>
      <c r="AD389" s="108"/>
      <c r="AE389" s="770" t="s">
        <v>2570</v>
      </c>
      <c r="AF389" s="771" t="s">
        <v>1450</v>
      </c>
      <c r="AG389" s="108"/>
      <c r="AH389" s="454" t="s">
        <v>452</v>
      </c>
      <c r="AI389" s="455">
        <v>9501</v>
      </c>
      <c r="AJ389" s="724">
        <v>7.3137697516930028E-2</v>
      </c>
      <c r="AK389" s="725">
        <v>18</v>
      </c>
      <c r="AL389" s="726">
        <v>38468</v>
      </c>
      <c r="AM389" s="725">
        <v>16</v>
      </c>
      <c r="AN389" s="727">
        <v>0.56100000000000005</v>
      </c>
      <c r="AO389" s="725">
        <v>16</v>
      </c>
      <c r="AP389" s="727">
        <v>0.06</v>
      </c>
      <c r="AQ389" s="725">
        <v>14</v>
      </c>
      <c r="AR389" s="728">
        <v>0.78500000000000003</v>
      </c>
      <c r="AS389" s="729">
        <v>9</v>
      </c>
      <c r="AT389" s="728">
        <v>4.0999999999999995E-2</v>
      </c>
      <c r="AU389" s="730">
        <v>7</v>
      </c>
      <c r="AV389" s="731">
        <v>0.24600000000000002</v>
      </c>
      <c r="AW389" s="730">
        <v>7</v>
      </c>
      <c r="AX389" s="728">
        <v>0.33799999999999997</v>
      </c>
      <c r="AY389" s="730">
        <v>5</v>
      </c>
      <c r="AZ389" s="728">
        <v>0.10099999999999999</v>
      </c>
      <c r="BA389" s="730">
        <v>7</v>
      </c>
      <c r="BB389" s="733">
        <v>4.9000000000000002E-2</v>
      </c>
      <c r="BC389" s="730">
        <v>2</v>
      </c>
      <c r="BD389" s="6"/>
    </row>
    <row r="390" spans="7:56" s="704" customFormat="1" ht="15">
      <c r="G390" s="1546"/>
      <c r="W390" s="6"/>
      <c r="X390" s="87"/>
      <c r="Y390" s="87"/>
      <c r="Z390" s="739"/>
      <c r="AA390" s="739"/>
      <c r="AB390" s="743"/>
      <c r="AC390" s="108"/>
      <c r="AD390" s="108"/>
      <c r="AE390" s="770" t="s">
        <v>2571</v>
      </c>
      <c r="AF390" s="771" t="s">
        <v>653</v>
      </c>
      <c r="AG390" s="108"/>
      <c r="AH390" s="454" t="s">
        <v>452</v>
      </c>
      <c r="AI390" s="455">
        <v>9502</v>
      </c>
      <c r="AJ390" s="724">
        <v>7.3137697516930028E-2</v>
      </c>
      <c r="AK390" s="725">
        <v>18</v>
      </c>
      <c r="AL390" s="726">
        <v>38468</v>
      </c>
      <c r="AM390" s="725">
        <v>16</v>
      </c>
      <c r="AN390" s="727">
        <v>0.56100000000000005</v>
      </c>
      <c r="AO390" s="725">
        <v>16</v>
      </c>
      <c r="AP390" s="727">
        <v>0.06</v>
      </c>
      <c r="AQ390" s="725">
        <v>14</v>
      </c>
      <c r="AR390" s="728">
        <v>0.74099999999999999</v>
      </c>
      <c r="AS390" s="729">
        <v>8</v>
      </c>
      <c r="AT390" s="728">
        <v>2.1000000000000001E-2</v>
      </c>
      <c r="AU390" s="730">
        <v>9</v>
      </c>
      <c r="AV390" s="731">
        <v>0.222</v>
      </c>
      <c r="AW390" s="730">
        <v>8</v>
      </c>
      <c r="AX390" s="728">
        <v>0.185</v>
      </c>
      <c r="AY390" s="730">
        <v>7</v>
      </c>
      <c r="AZ390" s="728">
        <v>6.0999999999999999E-2</v>
      </c>
      <c r="BA390" s="730">
        <v>8</v>
      </c>
      <c r="BB390" s="733">
        <v>9.4E-2</v>
      </c>
      <c r="BC390" s="730">
        <v>3</v>
      </c>
      <c r="BD390" s="6"/>
    </row>
    <row r="391" spans="7:56" s="704" customFormat="1" ht="15">
      <c r="G391" s="1546"/>
      <c r="W391" s="6"/>
      <c r="X391" s="87"/>
      <c r="Y391" s="87"/>
      <c r="Z391" s="739"/>
      <c r="AA391" s="739"/>
      <c r="AB391" s="743"/>
      <c r="AC391" s="108"/>
      <c r="AD391" s="108"/>
      <c r="AE391" s="770" t="s">
        <v>2572</v>
      </c>
      <c r="AF391" s="771" t="s">
        <v>1450</v>
      </c>
      <c r="AG391" s="108"/>
      <c r="AH391" s="454" t="s">
        <v>452</v>
      </c>
      <c r="AI391" s="455">
        <v>9503</v>
      </c>
      <c r="AJ391" s="724">
        <v>7.3137697516930028E-2</v>
      </c>
      <c r="AK391" s="725">
        <v>18</v>
      </c>
      <c r="AL391" s="726">
        <v>38468</v>
      </c>
      <c r="AM391" s="725">
        <v>16</v>
      </c>
      <c r="AN391" s="727">
        <v>0.56100000000000005</v>
      </c>
      <c r="AO391" s="725">
        <v>16</v>
      </c>
      <c r="AP391" s="727">
        <v>0.06</v>
      </c>
      <c r="AQ391" s="725">
        <v>14</v>
      </c>
      <c r="AR391" s="728">
        <v>0.77500000000000002</v>
      </c>
      <c r="AS391" s="729">
        <v>9</v>
      </c>
      <c r="AT391" s="728">
        <v>0</v>
      </c>
      <c r="AU391" s="730">
        <v>10</v>
      </c>
      <c r="AV391" s="731">
        <v>0.29100000000000004</v>
      </c>
      <c r="AW391" s="730">
        <v>7</v>
      </c>
      <c r="AX391" s="728">
        <v>0.28499999999999998</v>
      </c>
      <c r="AY391" s="730">
        <v>6</v>
      </c>
      <c r="AZ391" s="728">
        <v>6.6000000000000003E-2</v>
      </c>
      <c r="BA391" s="730">
        <v>8</v>
      </c>
      <c r="BB391" s="733">
        <v>6.9000000000000006E-2</v>
      </c>
      <c r="BC391" s="730">
        <v>2</v>
      </c>
      <c r="BD391" s="6"/>
    </row>
    <row r="392" spans="7:56" s="704" customFormat="1" ht="15">
      <c r="G392" s="1546"/>
      <c r="W392" s="6"/>
      <c r="X392" s="87"/>
      <c r="Y392" s="87"/>
      <c r="Z392" s="739"/>
      <c r="AA392" s="739"/>
      <c r="AB392" s="743"/>
      <c r="AC392" s="108"/>
      <c r="AD392" s="108"/>
      <c r="AE392" s="770" t="s">
        <v>2573</v>
      </c>
      <c r="AF392" s="771" t="s">
        <v>653</v>
      </c>
      <c r="AG392" s="108"/>
      <c r="AH392" s="454" t="s">
        <v>452</v>
      </c>
      <c r="AI392" s="455">
        <v>9504</v>
      </c>
      <c r="AJ392" s="724">
        <v>7.3137697516930028E-2</v>
      </c>
      <c r="AK392" s="725">
        <v>18</v>
      </c>
      <c r="AL392" s="726">
        <v>38468</v>
      </c>
      <c r="AM392" s="725">
        <v>16</v>
      </c>
      <c r="AN392" s="727">
        <v>0.56100000000000005</v>
      </c>
      <c r="AO392" s="725">
        <v>16</v>
      </c>
      <c r="AP392" s="727">
        <v>0.06</v>
      </c>
      <c r="AQ392" s="725">
        <v>14</v>
      </c>
      <c r="AR392" s="728">
        <v>0.75</v>
      </c>
      <c r="AS392" s="729">
        <v>8</v>
      </c>
      <c r="AT392" s="728">
        <v>3.3000000000000002E-2</v>
      </c>
      <c r="AU392" s="730">
        <v>7</v>
      </c>
      <c r="AV392" s="731">
        <v>0.16500000000000001</v>
      </c>
      <c r="AW392" s="730">
        <v>8</v>
      </c>
      <c r="AX392" s="728">
        <v>0.27600000000000002</v>
      </c>
      <c r="AY392" s="730">
        <v>6</v>
      </c>
      <c r="AZ392" s="728">
        <v>2.8999999999999998E-2</v>
      </c>
      <c r="BA392" s="730">
        <v>9</v>
      </c>
      <c r="BB392" s="733">
        <v>0.105</v>
      </c>
      <c r="BC392" s="730">
        <v>3</v>
      </c>
      <c r="BD392" s="6"/>
    </row>
    <row r="393" spans="7:56" s="704" customFormat="1" ht="15">
      <c r="G393" s="1546"/>
      <c r="W393" s="6"/>
      <c r="X393" s="87"/>
      <c r="Y393" s="87"/>
      <c r="Z393" s="739"/>
      <c r="AA393" s="739"/>
      <c r="AB393" s="743"/>
      <c r="AC393" s="108"/>
      <c r="AD393" s="108"/>
      <c r="AE393" s="770" t="s">
        <v>1242</v>
      </c>
      <c r="AF393" s="771" t="s">
        <v>653</v>
      </c>
      <c r="AG393" s="108"/>
      <c r="AH393" s="454" t="s">
        <v>452</v>
      </c>
      <c r="AI393" s="455">
        <v>9505</v>
      </c>
      <c r="AJ393" s="724">
        <v>7.3137697516930028E-2</v>
      </c>
      <c r="AK393" s="725">
        <v>18</v>
      </c>
      <c r="AL393" s="726">
        <v>38468</v>
      </c>
      <c r="AM393" s="725">
        <v>16</v>
      </c>
      <c r="AN393" s="727">
        <v>0.56100000000000005</v>
      </c>
      <c r="AO393" s="725">
        <v>16</v>
      </c>
      <c r="AP393" s="727">
        <v>0.06</v>
      </c>
      <c r="AQ393" s="725">
        <v>14</v>
      </c>
      <c r="AR393" s="728">
        <v>0.68599999999999994</v>
      </c>
      <c r="AS393" s="729">
        <v>8</v>
      </c>
      <c r="AT393" s="728">
        <v>0</v>
      </c>
      <c r="AU393" s="730">
        <v>10</v>
      </c>
      <c r="AV393" s="731">
        <v>0.27300000000000002</v>
      </c>
      <c r="AW393" s="730">
        <v>7</v>
      </c>
      <c r="AX393" s="728">
        <v>0.255</v>
      </c>
      <c r="AY393" s="730">
        <v>6</v>
      </c>
      <c r="AZ393" s="728">
        <v>3.6000000000000004E-2</v>
      </c>
      <c r="BA393" s="730">
        <v>9</v>
      </c>
      <c r="BB393" s="733">
        <v>0.126</v>
      </c>
      <c r="BC393" s="730">
        <v>4</v>
      </c>
      <c r="BD393" s="6"/>
    </row>
    <row r="394" spans="7:56" s="704" customFormat="1" ht="15">
      <c r="G394" s="1546"/>
      <c r="W394" s="6"/>
      <c r="X394" s="87"/>
      <c r="Y394" s="87"/>
      <c r="Z394" s="739"/>
      <c r="AA394" s="739"/>
      <c r="AB394" s="743"/>
      <c r="AC394" s="108"/>
      <c r="AD394" s="108"/>
      <c r="AE394" s="770" t="s">
        <v>2574</v>
      </c>
      <c r="AF394" s="771" t="s">
        <v>653</v>
      </c>
      <c r="AG394" s="108"/>
      <c r="AH394" s="454" t="s">
        <v>452</v>
      </c>
      <c r="AI394" s="455">
        <v>9506</v>
      </c>
      <c r="AJ394" s="724">
        <v>7.3137697516930028E-2</v>
      </c>
      <c r="AK394" s="725">
        <v>18</v>
      </c>
      <c r="AL394" s="726">
        <v>38468</v>
      </c>
      <c r="AM394" s="725">
        <v>16</v>
      </c>
      <c r="AN394" s="727">
        <v>0.56100000000000005</v>
      </c>
      <c r="AO394" s="725">
        <v>16</v>
      </c>
      <c r="AP394" s="727">
        <v>0.06</v>
      </c>
      <c r="AQ394" s="725">
        <v>14</v>
      </c>
      <c r="AR394" s="728">
        <v>0.88400000000000001</v>
      </c>
      <c r="AS394" s="729">
        <v>10</v>
      </c>
      <c r="AT394" s="728">
        <v>0.01</v>
      </c>
      <c r="AU394" s="730">
        <v>10</v>
      </c>
      <c r="AV394" s="731">
        <v>8.8000000000000009E-2</v>
      </c>
      <c r="AW394" s="730">
        <v>9</v>
      </c>
      <c r="AX394" s="728">
        <v>0.11199999999999999</v>
      </c>
      <c r="AY394" s="730">
        <v>9</v>
      </c>
      <c r="AZ394" s="728">
        <v>0.13100000000000001</v>
      </c>
      <c r="BA394" s="730">
        <v>6</v>
      </c>
      <c r="BB394" s="733">
        <v>8.3000000000000004E-2</v>
      </c>
      <c r="BC394" s="730">
        <v>3</v>
      </c>
      <c r="BD394" s="6"/>
    </row>
    <row r="395" spans="7:56" s="704" customFormat="1" ht="15">
      <c r="G395" s="1546"/>
      <c r="W395" s="6"/>
      <c r="X395" s="87"/>
      <c r="Y395" s="87"/>
      <c r="Z395" s="739"/>
      <c r="AA395" s="739"/>
      <c r="AB395" s="743"/>
      <c r="AC395" s="108"/>
      <c r="AD395" s="108"/>
      <c r="AE395" s="770" t="s">
        <v>1243</v>
      </c>
      <c r="AF395" s="771" t="s">
        <v>1450</v>
      </c>
      <c r="AG395" s="108"/>
      <c r="AH395" s="454" t="s">
        <v>452</v>
      </c>
      <c r="AI395" s="455">
        <v>9507</v>
      </c>
      <c r="AJ395" s="724">
        <v>7.3137697516930028E-2</v>
      </c>
      <c r="AK395" s="725">
        <v>18</v>
      </c>
      <c r="AL395" s="726">
        <v>38468</v>
      </c>
      <c r="AM395" s="725">
        <v>16</v>
      </c>
      <c r="AN395" s="727">
        <v>0.56100000000000005</v>
      </c>
      <c r="AO395" s="725">
        <v>16</v>
      </c>
      <c r="AP395" s="727">
        <v>0.06</v>
      </c>
      <c r="AQ395" s="725">
        <v>14</v>
      </c>
      <c r="AR395" s="728">
        <v>0.85</v>
      </c>
      <c r="AS395" s="729">
        <v>9</v>
      </c>
      <c r="AT395" s="728">
        <v>0</v>
      </c>
      <c r="AU395" s="730">
        <v>10</v>
      </c>
      <c r="AV395" s="731">
        <v>0.15</v>
      </c>
      <c r="AW395" s="730">
        <v>9</v>
      </c>
      <c r="AX395" s="728">
        <v>0.11199999999999999</v>
      </c>
      <c r="AY395" s="730">
        <v>9</v>
      </c>
      <c r="AZ395" s="728">
        <v>4.2000000000000003E-2</v>
      </c>
      <c r="BA395" s="730">
        <v>9</v>
      </c>
      <c r="BB395" s="733">
        <v>7.2000000000000008E-2</v>
      </c>
      <c r="BC395" s="730">
        <v>2</v>
      </c>
      <c r="BD395" s="6"/>
    </row>
    <row r="396" spans="7:56" s="704" customFormat="1" ht="15">
      <c r="G396" s="1546"/>
      <c r="W396" s="6"/>
      <c r="X396" s="87"/>
      <c r="Y396" s="87"/>
      <c r="Z396" s="739"/>
      <c r="AA396" s="739"/>
      <c r="AB396" s="743"/>
      <c r="AC396" s="108"/>
      <c r="AD396" s="108"/>
      <c r="AE396" s="770" t="s">
        <v>1767</v>
      </c>
      <c r="AF396" s="771" t="s">
        <v>653</v>
      </c>
      <c r="AG396" s="108"/>
      <c r="AH396" s="454" t="s">
        <v>453</v>
      </c>
      <c r="AI396" s="455">
        <v>2</v>
      </c>
      <c r="AJ396" s="724">
        <v>0.12294776119402985</v>
      </c>
      <c r="AK396" s="725">
        <v>9</v>
      </c>
      <c r="AL396" s="726">
        <v>48418</v>
      </c>
      <c r="AM396" s="725">
        <v>12</v>
      </c>
      <c r="AN396" s="727">
        <v>0.48399999999999999</v>
      </c>
      <c r="AO396" s="725">
        <v>12</v>
      </c>
      <c r="AP396" s="727">
        <v>0.111</v>
      </c>
      <c r="AQ396" s="725">
        <v>10</v>
      </c>
      <c r="AR396" s="728">
        <v>0.746</v>
      </c>
      <c r="AS396" s="729">
        <v>8</v>
      </c>
      <c r="AT396" s="728">
        <v>0</v>
      </c>
      <c r="AU396" s="730">
        <v>10</v>
      </c>
      <c r="AV396" s="731">
        <v>0.12</v>
      </c>
      <c r="AW396" s="730">
        <v>9</v>
      </c>
      <c r="AX396" s="728">
        <v>0.161</v>
      </c>
      <c r="AY396" s="730">
        <v>8</v>
      </c>
      <c r="AZ396" s="728">
        <v>6.0000000000000001E-3</v>
      </c>
      <c r="BA396" s="730">
        <v>10</v>
      </c>
      <c r="BB396" s="733">
        <v>0.115</v>
      </c>
      <c r="BC396" s="730">
        <v>4</v>
      </c>
      <c r="BD396" s="6"/>
    </row>
    <row r="397" spans="7:56" s="704" customFormat="1" ht="15">
      <c r="G397" s="1546"/>
      <c r="W397" s="6"/>
      <c r="X397" s="87"/>
      <c r="Y397" s="87"/>
      <c r="Z397" s="739"/>
      <c r="AA397" s="739"/>
      <c r="AB397" s="743"/>
      <c r="AC397" s="108"/>
      <c r="AD397" s="108"/>
      <c r="AE397" s="770" t="s">
        <v>1768</v>
      </c>
      <c r="AF397" s="771" t="s">
        <v>653</v>
      </c>
      <c r="AG397" s="108"/>
      <c r="AH397" s="454" t="s">
        <v>453</v>
      </c>
      <c r="AI397" s="455">
        <v>3</v>
      </c>
      <c r="AJ397" s="724">
        <v>0.12294776119402985</v>
      </c>
      <c r="AK397" s="725">
        <v>9</v>
      </c>
      <c r="AL397" s="726">
        <v>48418</v>
      </c>
      <c r="AM397" s="725">
        <v>12</v>
      </c>
      <c r="AN397" s="727">
        <v>0.48399999999999999</v>
      </c>
      <c r="AO397" s="725">
        <v>12</v>
      </c>
      <c r="AP397" s="727">
        <v>0.111</v>
      </c>
      <c r="AQ397" s="725">
        <v>10</v>
      </c>
      <c r="AR397" s="728">
        <v>0.67599999999999993</v>
      </c>
      <c r="AS397" s="729">
        <v>8</v>
      </c>
      <c r="AT397" s="728">
        <v>0</v>
      </c>
      <c r="AU397" s="730">
        <v>10</v>
      </c>
      <c r="AV397" s="731">
        <v>0.17399999999999999</v>
      </c>
      <c r="AW397" s="730">
        <v>8</v>
      </c>
      <c r="AX397" s="728">
        <v>0.187</v>
      </c>
      <c r="AY397" s="730">
        <v>7</v>
      </c>
      <c r="AZ397" s="728">
        <v>5.0999999999999997E-2</v>
      </c>
      <c r="BA397" s="730">
        <v>9</v>
      </c>
      <c r="BB397" s="733">
        <v>0.20300000000000001</v>
      </c>
      <c r="BC397" s="730">
        <v>6</v>
      </c>
      <c r="BD397" s="6"/>
    </row>
    <row r="398" spans="7:56" s="704" customFormat="1" ht="15">
      <c r="G398" s="1546"/>
      <c r="W398" s="6"/>
      <c r="X398" s="87"/>
      <c r="Y398" s="87"/>
      <c r="Z398" s="739"/>
      <c r="AA398" s="739"/>
      <c r="AB398" s="743"/>
      <c r="AC398" s="108"/>
      <c r="AD398" s="108"/>
      <c r="AE398" s="770" t="s">
        <v>2575</v>
      </c>
      <c r="AF398" s="771" t="s">
        <v>1450</v>
      </c>
      <c r="AG398" s="108"/>
      <c r="AH398" s="454" t="s">
        <v>453</v>
      </c>
      <c r="AI398" s="455">
        <v>4</v>
      </c>
      <c r="AJ398" s="724">
        <v>0.12294776119402985</v>
      </c>
      <c r="AK398" s="725">
        <v>9</v>
      </c>
      <c r="AL398" s="726">
        <v>48418</v>
      </c>
      <c r="AM398" s="725">
        <v>12</v>
      </c>
      <c r="AN398" s="727">
        <v>0.48399999999999999</v>
      </c>
      <c r="AO398" s="725">
        <v>12</v>
      </c>
      <c r="AP398" s="727">
        <v>0.111</v>
      </c>
      <c r="AQ398" s="725">
        <v>10</v>
      </c>
      <c r="AR398" s="728">
        <v>0.24199999999999999</v>
      </c>
      <c r="AS398" s="729">
        <v>3</v>
      </c>
      <c r="AT398" s="728">
        <v>0</v>
      </c>
      <c r="AU398" s="730">
        <v>10</v>
      </c>
      <c r="AV398" s="731">
        <v>0.32400000000000001</v>
      </c>
      <c r="AW398" s="730">
        <v>6</v>
      </c>
      <c r="AX398" s="728">
        <v>0.32100000000000001</v>
      </c>
      <c r="AY398" s="730">
        <v>5</v>
      </c>
      <c r="AZ398" s="728">
        <v>7.9000000000000001E-2</v>
      </c>
      <c r="BA398" s="730">
        <v>8</v>
      </c>
      <c r="BB398" s="733">
        <v>0.14599999999999999</v>
      </c>
      <c r="BC398" s="730">
        <v>4</v>
      </c>
      <c r="BD398" s="6"/>
    </row>
    <row r="399" spans="7:56" s="704" customFormat="1" ht="15">
      <c r="G399" s="1546"/>
      <c r="W399" s="6"/>
      <c r="X399" s="87"/>
      <c r="Y399" s="87"/>
      <c r="Z399" s="739"/>
      <c r="AA399" s="739"/>
      <c r="AB399" s="743"/>
      <c r="AC399" s="108"/>
      <c r="AD399" s="108"/>
      <c r="AE399" s="770" t="s">
        <v>1244</v>
      </c>
      <c r="AF399" s="771" t="s">
        <v>1450</v>
      </c>
      <c r="AG399" s="108"/>
      <c r="AH399" s="454" t="s">
        <v>453</v>
      </c>
      <c r="AI399" s="455">
        <v>5</v>
      </c>
      <c r="AJ399" s="724">
        <v>0.12294776119402985</v>
      </c>
      <c r="AK399" s="725">
        <v>9</v>
      </c>
      <c r="AL399" s="726">
        <v>48418</v>
      </c>
      <c r="AM399" s="725">
        <v>12</v>
      </c>
      <c r="AN399" s="727">
        <v>0.48399999999999999</v>
      </c>
      <c r="AO399" s="725">
        <v>12</v>
      </c>
      <c r="AP399" s="727">
        <v>0.111</v>
      </c>
      <c r="AQ399" s="725">
        <v>10</v>
      </c>
      <c r="AR399" s="728">
        <v>0.629</v>
      </c>
      <c r="AS399" s="729">
        <v>7</v>
      </c>
      <c r="AT399" s="728">
        <v>0</v>
      </c>
      <c r="AU399" s="730">
        <v>10</v>
      </c>
      <c r="AV399" s="731">
        <v>0.128</v>
      </c>
      <c r="AW399" s="730">
        <v>9</v>
      </c>
      <c r="AX399" s="728">
        <v>0.16800000000000001</v>
      </c>
      <c r="AY399" s="730">
        <v>8</v>
      </c>
      <c r="AZ399" s="728">
        <v>7.6999999999999999E-2</v>
      </c>
      <c r="BA399" s="730">
        <v>8</v>
      </c>
      <c r="BB399" s="733">
        <v>0.20399999999999999</v>
      </c>
      <c r="BC399" s="730">
        <v>6</v>
      </c>
      <c r="BD399" s="6"/>
    </row>
    <row r="400" spans="7:56" s="704" customFormat="1" ht="15">
      <c r="G400" s="1546"/>
      <c r="W400" s="6"/>
      <c r="X400" s="87"/>
      <c r="Y400" s="87"/>
      <c r="Z400" s="739"/>
      <c r="AA400" s="739"/>
      <c r="AB400" s="743"/>
      <c r="AC400" s="108"/>
      <c r="AD400" s="108"/>
      <c r="AE400" s="770" t="s">
        <v>1245</v>
      </c>
      <c r="AF400" s="771" t="s">
        <v>653</v>
      </c>
      <c r="AG400" s="108"/>
      <c r="AH400" s="454" t="s">
        <v>453</v>
      </c>
      <c r="AI400" s="455">
        <v>6</v>
      </c>
      <c r="AJ400" s="724">
        <v>0.12294776119402985</v>
      </c>
      <c r="AK400" s="725">
        <v>9</v>
      </c>
      <c r="AL400" s="726">
        <v>48418</v>
      </c>
      <c r="AM400" s="725">
        <v>12</v>
      </c>
      <c r="AN400" s="727">
        <v>0.48399999999999999</v>
      </c>
      <c r="AO400" s="725">
        <v>12</v>
      </c>
      <c r="AP400" s="727">
        <v>0.111</v>
      </c>
      <c r="AQ400" s="725">
        <v>10</v>
      </c>
      <c r="AR400" s="728">
        <v>0.50600000000000001</v>
      </c>
      <c r="AS400" s="729">
        <v>6</v>
      </c>
      <c r="AT400" s="728">
        <v>2.7999999999999997E-2</v>
      </c>
      <c r="AU400" s="730">
        <v>8</v>
      </c>
      <c r="AV400" s="731">
        <v>0.313</v>
      </c>
      <c r="AW400" s="730">
        <v>6</v>
      </c>
      <c r="AX400" s="728">
        <v>0.314</v>
      </c>
      <c r="AY400" s="730">
        <v>5</v>
      </c>
      <c r="AZ400" s="728">
        <v>0.21</v>
      </c>
      <c r="BA400" s="730">
        <v>3</v>
      </c>
      <c r="BB400" s="733">
        <v>7.4999999999999997E-2</v>
      </c>
      <c r="BC400" s="730">
        <v>2</v>
      </c>
      <c r="BD400" s="6"/>
    </row>
    <row r="401" spans="7:56" s="704" customFormat="1" ht="15">
      <c r="G401" s="1546"/>
      <c r="W401" s="6"/>
      <c r="X401" s="87"/>
      <c r="Y401" s="87"/>
      <c r="Z401" s="739"/>
      <c r="AA401" s="739"/>
      <c r="AB401" s="743"/>
      <c r="AC401" s="108"/>
      <c r="AD401" s="108"/>
      <c r="AE401" s="770" t="s">
        <v>1246</v>
      </c>
      <c r="AF401" s="771" t="s">
        <v>653</v>
      </c>
      <c r="AG401" s="108"/>
      <c r="AH401" s="454" t="s">
        <v>453</v>
      </c>
      <c r="AI401" s="455">
        <v>7</v>
      </c>
      <c r="AJ401" s="724">
        <v>0.12294776119402985</v>
      </c>
      <c r="AK401" s="725">
        <v>9</v>
      </c>
      <c r="AL401" s="726">
        <v>48418</v>
      </c>
      <c r="AM401" s="725">
        <v>12</v>
      </c>
      <c r="AN401" s="727">
        <v>0.48399999999999999</v>
      </c>
      <c r="AO401" s="725">
        <v>12</v>
      </c>
      <c r="AP401" s="727">
        <v>0.111</v>
      </c>
      <c r="AQ401" s="725">
        <v>10</v>
      </c>
      <c r="AR401" s="728">
        <v>0.43700000000000006</v>
      </c>
      <c r="AS401" s="729">
        <v>5</v>
      </c>
      <c r="AT401" s="728">
        <v>0</v>
      </c>
      <c r="AU401" s="730">
        <v>10</v>
      </c>
      <c r="AV401" s="731">
        <v>0.26</v>
      </c>
      <c r="AW401" s="730">
        <v>7</v>
      </c>
      <c r="AX401" s="728">
        <v>0.33</v>
      </c>
      <c r="AY401" s="730">
        <v>5</v>
      </c>
      <c r="AZ401" s="728">
        <v>8.3000000000000004E-2</v>
      </c>
      <c r="BA401" s="730">
        <v>8</v>
      </c>
      <c r="BB401" s="733">
        <v>6.6000000000000003E-2</v>
      </c>
      <c r="BC401" s="730">
        <v>2</v>
      </c>
      <c r="BD401" s="6"/>
    </row>
    <row r="402" spans="7:56" s="704" customFormat="1" ht="15">
      <c r="G402" s="1546"/>
      <c r="W402" s="6"/>
      <c r="X402" s="87"/>
      <c r="Y402" s="87"/>
      <c r="Z402" s="739"/>
      <c r="AA402" s="739"/>
      <c r="AB402" s="743"/>
      <c r="AC402" s="108"/>
      <c r="AD402" s="108"/>
      <c r="AE402" s="770" t="s">
        <v>1247</v>
      </c>
      <c r="AF402" s="771" t="s">
        <v>1450</v>
      </c>
      <c r="AG402" s="108"/>
      <c r="AH402" s="454" t="s">
        <v>453</v>
      </c>
      <c r="AI402" s="455">
        <v>13</v>
      </c>
      <c r="AJ402" s="724">
        <v>0.12294776119402985</v>
      </c>
      <c r="AK402" s="725">
        <v>9</v>
      </c>
      <c r="AL402" s="726">
        <v>48418</v>
      </c>
      <c r="AM402" s="725">
        <v>12</v>
      </c>
      <c r="AN402" s="727">
        <v>0.48399999999999999</v>
      </c>
      <c r="AO402" s="725">
        <v>12</v>
      </c>
      <c r="AP402" s="727">
        <v>0.111</v>
      </c>
      <c r="AQ402" s="725">
        <v>10</v>
      </c>
      <c r="AR402" s="728">
        <v>0.75700000000000001</v>
      </c>
      <c r="AS402" s="729">
        <v>8</v>
      </c>
      <c r="AT402" s="728">
        <v>2.7000000000000003E-2</v>
      </c>
      <c r="AU402" s="730">
        <v>8</v>
      </c>
      <c r="AV402" s="731">
        <v>0.13</v>
      </c>
      <c r="AW402" s="730">
        <v>9</v>
      </c>
      <c r="AX402" s="728">
        <v>0.17100000000000001</v>
      </c>
      <c r="AY402" s="730">
        <v>8</v>
      </c>
      <c r="AZ402" s="728">
        <v>5.4000000000000006E-2</v>
      </c>
      <c r="BA402" s="730">
        <v>9</v>
      </c>
      <c r="BB402" s="733">
        <v>0.16</v>
      </c>
      <c r="BC402" s="730">
        <v>5</v>
      </c>
      <c r="BD402" s="6"/>
    </row>
    <row r="403" spans="7:56" s="704" customFormat="1" ht="15">
      <c r="G403" s="1546"/>
      <c r="W403" s="6"/>
      <c r="X403" s="87"/>
      <c r="Y403" s="87"/>
      <c r="Z403" s="739"/>
      <c r="AA403" s="739"/>
      <c r="AB403" s="743"/>
      <c r="AC403" s="108"/>
      <c r="AD403" s="108"/>
      <c r="AE403" s="770" t="s">
        <v>1248</v>
      </c>
      <c r="AF403" s="771" t="s">
        <v>653</v>
      </c>
      <c r="AG403" s="108"/>
      <c r="AH403" s="454" t="s">
        <v>453</v>
      </c>
      <c r="AI403" s="455">
        <v>14</v>
      </c>
      <c r="AJ403" s="724">
        <v>0.12294776119402985</v>
      </c>
      <c r="AK403" s="725">
        <v>9</v>
      </c>
      <c r="AL403" s="726">
        <v>48418</v>
      </c>
      <c r="AM403" s="725">
        <v>12</v>
      </c>
      <c r="AN403" s="727">
        <v>0.48399999999999999</v>
      </c>
      <c r="AO403" s="725">
        <v>12</v>
      </c>
      <c r="AP403" s="727">
        <v>0.111</v>
      </c>
      <c r="AQ403" s="725">
        <v>10</v>
      </c>
      <c r="AR403" s="728">
        <v>0.56100000000000005</v>
      </c>
      <c r="AS403" s="729">
        <v>6</v>
      </c>
      <c r="AT403" s="728">
        <v>0</v>
      </c>
      <c r="AU403" s="730">
        <v>10</v>
      </c>
      <c r="AV403" s="731">
        <v>0.12</v>
      </c>
      <c r="AW403" s="730">
        <v>9</v>
      </c>
      <c r="AX403" s="728">
        <v>9.9000000000000005E-2</v>
      </c>
      <c r="AY403" s="730">
        <v>9</v>
      </c>
      <c r="AZ403" s="728">
        <v>5.4000000000000006E-2</v>
      </c>
      <c r="BA403" s="730">
        <v>9</v>
      </c>
      <c r="BB403" s="733">
        <v>0.18899999999999997</v>
      </c>
      <c r="BC403" s="730">
        <v>5</v>
      </c>
      <c r="BD403" s="6"/>
    </row>
    <row r="404" spans="7:56" s="704" customFormat="1" ht="15">
      <c r="G404" s="1546"/>
      <c r="W404" s="6"/>
      <c r="X404" s="87"/>
      <c r="Y404" s="87"/>
      <c r="Z404" s="739"/>
      <c r="AA404" s="739"/>
      <c r="AB404" s="743"/>
      <c r="AC404" s="108"/>
      <c r="AD404" s="108"/>
      <c r="AE404" s="770" t="s">
        <v>1249</v>
      </c>
      <c r="AF404" s="771" t="s">
        <v>653</v>
      </c>
      <c r="AG404" s="108"/>
      <c r="AH404" s="454" t="s">
        <v>453</v>
      </c>
      <c r="AI404" s="455">
        <v>15</v>
      </c>
      <c r="AJ404" s="724">
        <v>0.12294776119402985</v>
      </c>
      <c r="AK404" s="725">
        <v>9</v>
      </c>
      <c r="AL404" s="726">
        <v>48418</v>
      </c>
      <c r="AM404" s="725">
        <v>12</v>
      </c>
      <c r="AN404" s="727">
        <v>0.48399999999999999</v>
      </c>
      <c r="AO404" s="725">
        <v>12</v>
      </c>
      <c r="AP404" s="727">
        <v>0.111</v>
      </c>
      <c r="AQ404" s="725">
        <v>10</v>
      </c>
      <c r="AR404" s="728">
        <v>0.68500000000000005</v>
      </c>
      <c r="AS404" s="729">
        <v>8</v>
      </c>
      <c r="AT404" s="728">
        <v>3.7999999999999999E-2</v>
      </c>
      <c r="AU404" s="730">
        <v>7</v>
      </c>
      <c r="AV404" s="731">
        <v>5.5E-2</v>
      </c>
      <c r="AW404" s="730">
        <v>10</v>
      </c>
      <c r="AX404" s="728">
        <v>1.3999999999999999E-2</v>
      </c>
      <c r="AY404" s="730">
        <v>10</v>
      </c>
      <c r="AZ404" s="728">
        <v>0</v>
      </c>
      <c r="BA404" s="730">
        <v>10</v>
      </c>
      <c r="BB404" s="733">
        <v>0.24600000000000002</v>
      </c>
      <c r="BC404" s="730">
        <v>7</v>
      </c>
      <c r="BD404" s="6"/>
    </row>
    <row r="405" spans="7:56" s="704" customFormat="1" ht="15">
      <c r="G405" s="1546"/>
      <c r="W405" s="6"/>
      <c r="X405" s="87"/>
      <c r="Y405" s="87"/>
      <c r="Z405" s="739"/>
      <c r="AA405" s="739"/>
      <c r="AB405" s="743"/>
      <c r="AC405" s="108"/>
      <c r="AD405" s="108"/>
      <c r="AE405" s="770" t="s">
        <v>1250</v>
      </c>
      <c r="AF405" s="771" t="s">
        <v>652</v>
      </c>
      <c r="AG405" s="108"/>
      <c r="AH405" s="454" t="s">
        <v>453</v>
      </c>
      <c r="AI405" s="455">
        <v>16</v>
      </c>
      <c r="AJ405" s="724">
        <v>0.12294776119402985</v>
      </c>
      <c r="AK405" s="725">
        <v>9</v>
      </c>
      <c r="AL405" s="726">
        <v>48418</v>
      </c>
      <c r="AM405" s="725">
        <v>12</v>
      </c>
      <c r="AN405" s="727">
        <v>0.48399999999999999</v>
      </c>
      <c r="AO405" s="725">
        <v>12</v>
      </c>
      <c r="AP405" s="727">
        <v>0.111</v>
      </c>
      <c r="AQ405" s="725">
        <v>10</v>
      </c>
      <c r="AR405" s="728">
        <v>0.67200000000000004</v>
      </c>
      <c r="AS405" s="729">
        <v>8</v>
      </c>
      <c r="AT405" s="728">
        <v>9.0000000000000011E-3</v>
      </c>
      <c r="AU405" s="730">
        <v>10</v>
      </c>
      <c r="AV405" s="731">
        <v>6.2E-2</v>
      </c>
      <c r="AW405" s="730">
        <v>10</v>
      </c>
      <c r="AX405" s="728">
        <v>2.6000000000000002E-2</v>
      </c>
      <c r="AY405" s="730">
        <v>10</v>
      </c>
      <c r="AZ405" s="728">
        <v>2.5000000000000001E-2</v>
      </c>
      <c r="BA405" s="730">
        <v>10</v>
      </c>
      <c r="BB405" s="733">
        <v>0.21</v>
      </c>
      <c r="BC405" s="730">
        <v>6</v>
      </c>
      <c r="BD405" s="6"/>
    </row>
    <row r="406" spans="7:56" s="704" customFormat="1" ht="15">
      <c r="G406" s="1546"/>
      <c r="W406" s="6"/>
      <c r="X406" s="87"/>
      <c r="Y406" s="87"/>
      <c r="Z406" s="739"/>
      <c r="AA406" s="739"/>
      <c r="AB406" s="743"/>
      <c r="AC406" s="108"/>
      <c r="AD406" s="108"/>
      <c r="AE406" s="770" t="s">
        <v>1251</v>
      </c>
      <c r="AF406" s="771" t="s">
        <v>653</v>
      </c>
      <c r="AG406" s="108"/>
      <c r="AH406" s="454" t="s">
        <v>453</v>
      </c>
      <c r="AI406" s="455">
        <v>17</v>
      </c>
      <c r="AJ406" s="724">
        <v>0.12294776119402985</v>
      </c>
      <c r="AK406" s="725">
        <v>9</v>
      </c>
      <c r="AL406" s="726">
        <v>48418</v>
      </c>
      <c r="AM406" s="725">
        <v>12</v>
      </c>
      <c r="AN406" s="727">
        <v>0.48399999999999999</v>
      </c>
      <c r="AO406" s="725">
        <v>12</v>
      </c>
      <c r="AP406" s="727">
        <v>0.111</v>
      </c>
      <c r="AQ406" s="725">
        <v>10</v>
      </c>
      <c r="AR406" s="728">
        <v>0.91099999999999992</v>
      </c>
      <c r="AS406" s="729">
        <v>10</v>
      </c>
      <c r="AT406" s="728">
        <v>0</v>
      </c>
      <c r="AU406" s="730">
        <v>10</v>
      </c>
      <c r="AV406" s="731">
        <v>0.10300000000000001</v>
      </c>
      <c r="AW406" s="730">
        <v>9</v>
      </c>
      <c r="AX406" s="728">
        <v>0.04</v>
      </c>
      <c r="AY406" s="730">
        <v>10</v>
      </c>
      <c r="AZ406" s="728">
        <v>6.6000000000000003E-2</v>
      </c>
      <c r="BA406" s="730">
        <v>8</v>
      </c>
      <c r="BB406" s="733">
        <v>0.26100000000000001</v>
      </c>
      <c r="BC406" s="730">
        <v>7</v>
      </c>
      <c r="BD406" s="6"/>
    </row>
    <row r="407" spans="7:56" s="704" customFormat="1" ht="15">
      <c r="G407" s="1546"/>
      <c r="W407" s="6"/>
      <c r="X407" s="87"/>
      <c r="Y407" s="87"/>
      <c r="Z407" s="739"/>
      <c r="AA407" s="739"/>
      <c r="AB407" s="743"/>
      <c r="AC407" s="108"/>
      <c r="AD407" s="108"/>
      <c r="AE407" s="770" t="s">
        <v>1252</v>
      </c>
      <c r="AF407" s="771" t="s">
        <v>1450</v>
      </c>
      <c r="AG407" s="108"/>
      <c r="AH407" s="454" t="s">
        <v>453</v>
      </c>
      <c r="AI407" s="455">
        <v>18</v>
      </c>
      <c r="AJ407" s="724">
        <v>0.12294776119402985</v>
      </c>
      <c r="AK407" s="725">
        <v>9</v>
      </c>
      <c r="AL407" s="726">
        <v>48418</v>
      </c>
      <c r="AM407" s="725">
        <v>12</v>
      </c>
      <c r="AN407" s="727">
        <v>0.48399999999999999</v>
      </c>
      <c r="AO407" s="725">
        <v>12</v>
      </c>
      <c r="AP407" s="727">
        <v>0.111</v>
      </c>
      <c r="AQ407" s="725">
        <v>10</v>
      </c>
      <c r="AR407" s="728">
        <v>0.72</v>
      </c>
      <c r="AS407" s="729">
        <v>8</v>
      </c>
      <c r="AT407" s="728">
        <v>1.6E-2</v>
      </c>
      <c r="AU407" s="730">
        <v>9</v>
      </c>
      <c r="AV407" s="731">
        <v>0.11699999999999999</v>
      </c>
      <c r="AW407" s="730">
        <v>9</v>
      </c>
      <c r="AX407" s="728">
        <v>0.11900000000000001</v>
      </c>
      <c r="AY407" s="730">
        <v>9</v>
      </c>
      <c r="AZ407" s="728">
        <v>2.1000000000000001E-2</v>
      </c>
      <c r="BA407" s="730">
        <v>10</v>
      </c>
      <c r="BB407" s="733">
        <v>0.221</v>
      </c>
      <c r="BC407" s="730">
        <v>6</v>
      </c>
      <c r="BD407" s="6"/>
    </row>
    <row r="408" spans="7:56" s="704" customFormat="1" ht="15">
      <c r="G408" s="1546"/>
      <c r="W408" s="6"/>
      <c r="X408" s="87"/>
      <c r="Y408" s="87"/>
      <c r="Z408" s="739"/>
      <c r="AA408" s="739"/>
      <c r="AB408" s="743"/>
      <c r="AC408" s="108"/>
      <c r="AD408" s="108"/>
      <c r="AE408" s="770" t="s">
        <v>1253</v>
      </c>
      <c r="AF408" s="771" t="s">
        <v>653</v>
      </c>
      <c r="AG408" s="108"/>
      <c r="AH408" s="454" t="s">
        <v>453</v>
      </c>
      <c r="AI408" s="455">
        <v>19.010000000000002</v>
      </c>
      <c r="AJ408" s="724">
        <v>0.12294776119402985</v>
      </c>
      <c r="AK408" s="725">
        <v>9</v>
      </c>
      <c r="AL408" s="726">
        <v>48418</v>
      </c>
      <c r="AM408" s="725">
        <v>12</v>
      </c>
      <c r="AN408" s="727">
        <v>0.48399999999999999</v>
      </c>
      <c r="AO408" s="725">
        <v>12</v>
      </c>
      <c r="AP408" s="727">
        <v>0.111</v>
      </c>
      <c r="AQ408" s="725">
        <v>10</v>
      </c>
      <c r="AR408" s="728">
        <v>0.8</v>
      </c>
      <c r="AS408" s="729">
        <v>9</v>
      </c>
      <c r="AT408" s="728">
        <v>0</v>
      </c>
      <c r="AU408" s="730">
        <v>10</v>
      </c>
      <c r="AV408" s="731">
        <v>0.122</v>
      </c>
      <c r="AW408" s="730">
        <v>9</v>
      </c>
      <c r="AX408" s="728">
        <v>2.8999999999999998E-2</v>
      </c>
      <c r="AY408" s="730">
        <v>10</v>
      </c>
      <c r="AZ408" s="728">
        <v>4.8000000000000001E-2</v>
      </c>
      <c r="BA408" s="730">
        <v>9</v>
      </c>
      <c r="BB408" s="733">
        <v>0.30099999999999999</v>
      </c>
      <c r="BC408" s="730">
        <v>8</v>
      </c>
      <c r="BD408" s="6"/>
    </row>
    <row r="409" spans="7:56" s="704" customFormat="1" ht="15">
      <c r="G409" s="1546"/>
      <c r="W409" s="6"/>
      <c r="X409" s="87"/>
      <c r="Y409" s="87"/>
      <c r="Z409" s="739"/>
      <c r="AA409" s="739"/>
      <c r="AB409" s="743"/>
      <c r="AC409" s="108"/>
      <c r="AD409" s="108"/>
      <c r="AE409" s="770" t="s">
        <v>1254</v>
      </c>
      <c r="AF409" s="771" t="s">
        <v>652</v>
      </c>
      <c r="AG409" s="108"/>
      <c r="AH409" s="454" t="s">
        <v>453</v>
      </c>
      <c r="AI409" s="455">
        <v>20</v>
      </c>
      <c r="AJ409" s="724">
        <v>0.12294776119402985</v>
      </c>
      <c r="AK409" s="725">
        <v>9</v>
      </c>
      <c r="AL409" s="726">
        <v>48418</v>
      </c>
      <c r="AM409" s="725">
        <v>12</v>
      </c>
      <c r="AN409" s="727">
        <v>0.48399999999999999</v>
      </c>
      <c r="AO409" s="725">
        <v>12</v>
      </c>
      <c r="AP409" s="727">
        <v>0.111</v>
      </c>
      <c r="AQ409" s="725">
        <v>10</v>
      </c>
      <c r="AR409" s="728">
        <v>0.871</v>
      </c>
      <c r="AS409" s="729">
        <v>10</v>
      </c>
      <c r="AT409" s="728">
        <v>1.9000000000000003E-2</v>
      </c>
      <c r="AU409" s="730">
        <v>9</v>
      </c>
      <c r="AV409" s="731">
        <v>0.10300000000000001</v>
      </c>
      <c r="AW409" s="730">
        <v>9</v>
      </c>
      <c r="AX409" s="728">
        <v>0.1</v>
      </c>
      <c r="AY409" s="730">
        <v>9</v>
      </c>
      <c r="AZ409" s="728">
        <v>3.3000000000000002E-2</v>
      </c>
      <c r="BA409" s="730">
        <v>9</v>
      </c>
      <c r="BB409" s="733">
        <v>0.23</v>
      </c>
      <c r="BC409" s="730">
        <v>6</v>
      </c>
      <c r="BD409" s="6"/>
    </row>
    <row r="410" spans="7:56" s="704" customFormat="1" ht="15">
      <c r="G410" s="1546"/>
      <c r="W410" s="6"/>
      <c r="X410" s="87"/>
      <c r="Y410" s="87"/>
      <c r="Z410" s="739"/>
      <c r="AA410" s="739"/>
      <c r="AB410" s="743"/>
      <c r="AC410" s="108"/>
      <c r="AD410" s="108"/>
      <c r="AE410" s="770" t="s">
        <v>1255</v>
      </c>
      <c r="AF410" s="771" t="s">
        <v>653</v>
      </c>
      <c r="AG410" s="108"/>
      <c r="AH410" s="454" t="s">
        <v>453</v>
      </c>
      <c r="AI410" s="455">
        <v>21</v>
      </c>
      <c r="AJ410" s="724">
        <v>0.12294776119402985</v>
      </c>
      <c r="AK410" s="725">
        <v>9</v>
      </c>
      <c r="AL410" s="726">
        <v>48418</v>
      </c>
      <c r="AM410" s="725">
        <v>12</v>
      </c>
      <c r="AN410" s="727">
        <v>0.48399999999999999</v>
      </c>
      <c r="AO410" s="725">
        <v>12</v>
      </c>
      <c r="AP410" s="727">
        <v>0.111</v>
      </c>
      <c r="AQ410" s="725">
        <v>10</v>
      </c>
      <c r="AR410" s="728">
        <v>0.78500000000000003</v>
      </c>
      <c r="AS410" s="729">
        <v>9</v>
      </c>
      <c r="AT410" s="728">
        <v>2E-3</v>
      </c>
      <c r="AU410" s="730">
        <v>10</v>
      </c>
      <c r="AV410" s="731">
        <v>0.11</v>
      </c>
      <c r="AW410" s="730">
        <v>9</v>
      </c>
      <c r="AX410" s="728">
        <v>7.6999999999999999E-2</v>
      </c>
      <c r="AY410" s="730">
        <v>9</v>
      </c>
      <c r="AZ410" s="728">
        <v>3.1E-2</v>
      </c>
      <c r="BA410" s="730">
        <v>9</v>
      </c>
      <c r="BB410" s="733">
        <v>0.156</v>
      </c>
      <c r="BC410" s="730">
        <v>5</v>
      </c>
      <c r="BD410" s="6"/>
    </row>
    <row r="411" spans="7:56" s="704" customFormat="1" ht="15">
      <c r="G411" s="1546"/>
      <c r="W411" s="6"/>
      <c r="X411" s="87"/>
      <c r="Y411" s="87"/>
      <c r="Z411" s="739"/>
      <c r="AA411" s="739"/>
      <c r="AB411" s="743"/>
      <c r="AC411" s="108"/>
      <c r="AD411" s="108"/>
      <c r="AE411" s="770" t="s">
        <v>2576</v>
      </c>
      <c r="AF411" s="771" t="s">
        <v>653</v>
      </c>
      <c r="AG411" s="108"/>
      <c r="AH411" s="454" t="s">
        <v>453</v>
      </c>
      <c r="AI411" s="455">
        <v>22</v>
      </c>
      <c r="AJ411" s="724">
        <v>0.12294776119402985</v>
      </c>
      <c r="AK411" s="725">
        <v>9</v>
      </c>
      <c r="AL411" s="726">
        <v>48418</v>
      </c>
      <c r="AM411" s="725">
        <v>12</v>
      </c>
      <c r="AN411" s="727">
        <v>0.48399999999999999</v>
      </c>
      <c r="AO411" s="725">
        <v>12</v>
      </c>
      <c r="AP411" s="727">
        <v>0.111</v>
      </c>
      <c r="AQ411" s="725">
        <v>10</v>
      </c>
      <c r="AR411" s="728">
        <v>0.83900000000000008</v>
      </c>
      <c r="AS411" s="729">
        <v>9</v>
      </c>
      <c r="AT411" s="728">
        <v>0.01</v>
      </c>
      <c r="AU411" s="730">
        <v>10</v>
      </c>
      <c r="AV411" s="731">
        <v>0.113</v>
      </c>
      <c r="AW411" s="730">
        <v>9</v>
      </c>
      <c r="AX411" s="728">
        <v>6.7000000000000004E-2</v>
      </c>
      <c r="AY411" s="730">
        <v>9</v>
      </c>
      <c r="AZ411" s="728">
        <v>5.5E-2</v>
      </c>
      <c r="BA411" s="730">
        <v>9</v>
      </c>
      <c r="BB411" s="733">
        <v>0.184</v>
      </c>
      <c r="BC411" s="730">
        <v>5</v>
      </c>
      <c r="BD411" s="6"/>
    </row>
    <row r="412" spans="7:56" s="704" customFormat="1" ht="15">
      <c r="G412" s="1546"/>
      <c r="W412" s="6"/>
      <c r="X412" s="87"/>
      <c r="Y412" s="87"/>
      <c r="Z412" s="739"/>
      <c r="AA412" s="739"/>
      <c r="AB412" s="743"/>
      <c r="AC412" s="108"/>
      <c r="AD412" s="108"/>
      <c r="AE412" s="770" t="s">
        <v>1256</v>
      </c>
      <c r="AF412" s="771" t="s">
        <v>653</v>
      </c>
      <c r="AG412" s="108"/>
      <c r="AH412" s="454" t="s">
        <v>453</v>
      </c>
      <c r="AI412" s="455">
        <v>26</v>
      </c>
      <c r="AJ412" s="724">
        <v>0.12294776119402985</v>
      </c>
      <c r="AK412" s="725">
        <v>9</v>
      </c>
      <c r="AL412" s="726">
        <v>48418</v>
      </c>
      <c r="AM412" s="725">
        <v>12</v>
      </c>
      <c r="AN412" s="727">
        <v>0.48399999999999999</v>
      </c>
      <c r="AO412" s="725">
        <v>12</v>
      </c>
      <c r="AP412" s="727">
        <v>0.111</v>
      </c>
      <c r="AQ412" s="725">
        <v>10</v>
      </c>
      <c r="AR412" s="728">
        <v>0.51700000000000002</v>
      </c>
      <c r="AS412" s="729">
        <v>6</v>
      </c>
      <c r="AT412" s="728">
        <v>0</v>
      </c>
      <c r="AU412" s="730">
        <v>10</v>
      </c>
      <c r="AV412" s="731">
        <v>0.18899999999999997</v>
      </c>
      <c r="AW412" s="730">
        <v>8</v>
      </c>
      <c r="AX412" s="728">
        <v>0.23600000000000002</v>
      </c>
      <c r="AY412" s="730">
        <v>7</v>
      </c>
      <c r="AZ412" s="728">
        <v>4.2000000000000003E-2</v>
      </c>
      <c r="BA412" s="730">
        <v>9</v>
      </c>
      <c r="BB412" s="733">
        <v>4.2000000000000003E-2</v>
      </c>
      <c r="BC412" s="730">
        <v>2</v>
      </c>
      <c r="BD412" s="6"/>
    </row>
    <row r="413" spans="7:56" s="704" customFormat="1" ht="15">
      <c r="G413" s="1546"/>
      <c r="W413" s="6"/>
      <c r="X413" s="87"/>
      <c r="Y413" s="87"/>
      <c r="Z413" s="739"/>
      <c r="AA413" s="739"/>
      <c r="AB413" s="743"/>
      <c r="AC413" s="108"/>
      <c r="AD413" s="108"/>
      <c r="AE413" s="770" t="s">
        <v>1257</v>
      </c>
      <c r="AF413" s="771" t="s">
        <v>653</v>
      </c>
      <c r="AG413" s="108"/>
      <c r="AH413" s="454" t="s">
        <v>453</v>
      </c>
      <c r="AI413" s="455">
        <v>27</v>
      </c>
      <c r="AJ413" s="724">
        <v>0.12294776119402985</v>
      </c>
      <c r="AK413" s="725">
        <v>9</v>
      </c>
      <c r="AL413" s="726">
        <v>48418</v>
      </c>
      <c r="AM413" s="725">
        <v>12</v>
      </c>
      <c r="AN413" s="727">
        <v>0.48399999999999999</v>
      </c>
      <c r="AO413" s="725">
        <v>12</v>
      </c>
      <c r="AP413" s="727">
        <v>0.111</v>
      </c>
      <c r="AQ413" s="725">
        <v>10</v>
      </c>
      <c r="AR413" s="728">
        <v>0.185</v>
      </c>
      <c r="AS413" s="729">
        <v>2</v>
      </c>
      <c r="AT413" s="728">
        <v>0</v>
      </c>
      <c r="AU413" s="730">
        <v>10</v>
      </c>
      <c r="AV413" s="731">
        <v>0.55899999999999994</v>
      </c>
      <c r="AW413" s="730">
        <v>3</v>
      </c>
      <c r="AX413" s="728">
        <v>0.48100000000000004</v>
      </c>
      <c r="AY413" s="730">
        <v>3</v>
      </c>
      <c r="AZ413" s="728">
        <v>0.126</v>
      </c>
      <c r="BA413" s="730">
        <v>6</v>
      </c>
      <c r="BB413" s="733">
        <v>0.107</v>
      </c>
      <c r="BC413" s="730">
        <v>3</v>
      </c>
      <c r="BD413" s="6"/>
    </row>
    <row r="414" spans="7:56" s="704" customFormat="1" ht="15">
      <c r="G414" s="1546"/>
      <c r="W414" s="6"/>
      <c r="X414" s="87"/>
      <c r="Y414" s="87"/>
      <c r="Z414" s="739"/>
      <c r="AA414" s="739"/>
      <c r="AB414" s="743"/>
      <c r="AC414" s="108"/>
      <c r="AD414" s="108"/>
      <c r="AE414" s="770" t="s">
        <v>1258</v>
      </c>
      <c r="AF414" s="771" t="s">
        <v>1450</v>
      </c>
      <c r="AG414" s="108"/>
      <c r="AH414" s="454" t="s">
        <v>454</v>
      </c>
      <c r="AI414" s="455">
        <v>9704</v>
      </c>
      <c r="AJ414" s="735">
        <v>8.4317032040472171E-3</v>
      </c>
      <c r="AK414" s="730">
        <v>30</v>
      </c>
      <c r="AL414" s="736">
        <v>41210</v>
      </c>
      <c r="AM414" s="729">
        <v>16</v>
      </c>
      <c r="AN414" s="737">
        <v>0.29699999999999999</v>
      </c>
      <c r="AO414" s="729">
        <v>4</v>
      </c>
      <c r="AP414" s="728">
        <v>4.7E-2</v>
      </c>
      <c r="AQ414" s="738">
        <v>16</v>
      </c>
      <c r="AR414" s="728">
        <v>0.86299999999999999</v>
      </c>
      <c r="AS414" s="729">
        <v>10</v>
      </c>
      <c r="AT414" s="728">
        <v>0.01</v>
      </c>
      <c r="AU414" s="730">
        <v>10</v>
      </c>
      <c r="AV414" s="731">
        <v>0.19600000000000001</v>
      </c>
      <c r="AW414" s="730">
        <v>8</v>
      </c>
      <c r="AX414" s="728">
        <v>0.14400000000000002</v>
      </c>
      <c r="AY414" s="730">
        <v>8</v>
      </c>
      <c r="AZ414" s="728">
        <v>3.7999999999999999E-2</v>
      </c>
      <c r="BA414" s="730">
        <v>9</v>
      </c>
      <c r="BB414" s="733">
        <v>4.4999999999999998E-2</v>
      </c>
      <c r="BC414" s="730">
        <v>2</v>
      </c>
      <c r="BD414" s="6"/>
    </row>
    <row r="415" spans="7:56" s="704" customFormat="1" ht="15">
      <c r="G415" s="1546"/>
      <c r="W415" s="6"/>
      <c r="X415" s="87"/>
      <c r="Y415" s="87"/>
      <c r="Z415" s="739"/>
      <c r="AA415" s="739"/>
      <c r="AB415" s="743"/>
      <c r="AC415" s="108"/>
      <c r="AD415" s="108"/>
      <c r="AE415" s="770" t="s">
        <v>2577</v>
      </c>
      <c r="AF415" s="771" t="s">
        <v>1450</v>
      </c>
      <c r="AG415" s="108"/>
      <c r="AH415" s="454" t="s">
        <v>454</v>
      </c>
      <c r="AI415" s="455">
        <v>9705</v>
      </c>
      <c r="AJ415" s="735">
        <v>8.4317032040472171E-3</v>
      </c>
      <c r="AK415" s="730">
        <v>30</v>
      </c>
      <c r="AL415" s="736">
        <v>41210</v>
      </c>
      <c r="AM415" s="729">
        <v>16</v>
      </c>
      <c r="AN415" s="737">
        <v>0.29699999999999999</v>
      </c>
      <c r="AO415" s="729">
        <v>4</v>
      </c>
      <c r="AP415" s="728">
        <v>4.7E-2</v>
      </c>
      <c r="AQ415" s="738">
        <v>16</v>
      </c>
      <c r="AR415" s="728">
        <v>0.85</v>
      </c>
      <c r="AS415" s="729">
        <v>9</v>
      </c>
      <c r="AT415" s="728">
        <v>1.6E-2</v>
      </c>
      <c r="AU415" s="730">
        <v>9</v>
      </c>
      <c r="AV415" s="731">
        <v>0.14199999999999999</v>
      </c>
      <c r="AW415" s="730">
        <v>9</v>
      </c>
      <c r="AX415" s="728">
        <v>0.11</v>
      </c>
      <c r="AY415" s="730">
        <v>9</v>
      </c>
      <c r="AZ415" s="728">
        <v>3.2000000000000001E-2</v>
      </c>
      <c r="BA415" s="730">
        <v>9</v>
      </c>
      <c r="BB415" s="733">
        <v>0.11</v>
      </c>
      <c r="BC415" s="730">
        <v>3</v>
      </c>
      <c r="BD415" s="6"/>
    </row>
    <row r="416" spans="7:56" s="704" customFormat="1" ht="15">
      <c r="G416" s="1546"/>
      <c r="W416" s="6"/>
      <c r="X416" s="87"/>
      <c r="Y416" s="87"/>
      <c r="Z416" s="739"/>
      <c r="AA416" s="739"/>
      <c r="AB416" s="743"/>
      <c r="AC416" s="108"/>
      <c r="AD416" s="108"/>
      <c r="AE416" s="770" t="s">
        <v>1259</v>
      </c>
      <c r="AF416" s="771" t="s">
        <v>1450</v>
      </c>
      <c r="AG416" s="108"/>
      <c r="AH416" s="454" t="s">
        <v>454</v>
      </c>
      <c r="AI416" s="455">
        <v>9706</v>
      </c>
      <c r="AJ416" s="735">
        <v>8.4317032040472171E-3</v>
      </c>
      <c r="AK416" s="730">
        <v>30</v>
      </c>
      <c r="AL416" s="736">
        <v>41210</v>
      </c>
      <c r="AM416" s="729">
        <v>16</v>
      </c>
      <c r="AN416" s="737">
        <v>0.29699999999999999</v>
      </c>
      <c r="AO416" s="729">
        <v>4</v>
      </c>
      <c r="AP416" s="728">
        <v>4.7E-2</v>
      </c>
      <c r="AQ416" s="738">
        <v>16</v>
      </c>
      <c r="AR416" s="728">
        <v>0.7</v>
      </c>
      <c r="AS416" s="729">
        <v>8</v>
      </c>
      <c r="AT416" s="728">
        <v>9.0000000000000011E-3</v>
      </c>
      <c r="AU416" s="730">
        <v>10</v>
      </c>
      <c r="AV416" s="731">
        <v>0.16800000000000001</v>
      </c>
      <c r="AW416" s="730">
        <v>8</v>
      </c>
      <c r="AX416" s="728">
        <v>0.122</v>
      </c>
      <c r="AY416" s="730">
        <v>8</v>
      </c>
      <c r="AZ416" s="728">
        <v>7.8E-2</v>
      </c>
      <c r="BA416" s="730">
        <v>8</v>
      </c>
      <c r="BB416" s="733">
        <v>5.7999999999999996E-2</v>
      </c>
      <c r="BC416" s="730">
        <v>2</v>
      </c>
      <c r="BD416" s="6"/>
    </row>
    <row r="417" spans="7:56" s="704" customFormat="1" ht="15">
      <c r="G417" s="1546"/>
      <c r="W417" s="6"/>
      <c r="X417" s="87"/>
      <c r="Y417" s="87"/>
      <c r="Z417" s="739"/>
      <c r="AA417" s="739"/>
      <c r="AB417" s="743"/>
      <c r="AC417" s="108"/>
      <c r="AD417" s="108"/>
      <c r="AE417" s="770" t="s">
        <v>1260</v>
      </c>
      <c r="AF417" s="771" t="s">
        <v>653</v>
      </c>
      <c r="AG417" s="108"/>
      <c r="AH417" s="454" t="s">
        <v>455</v>
      </c>
      <c r="AI417" s="455">
        <v>9621</v>
      </c>
      <c r="AJ417" s="735">
        <v>6.7911714770797965E-2</v>
      </c>
      <c r="AK417" s="730">
        <v>18</v>
      </c>
      <c r="AL417" s="736">
        <v>48563</v>
      </c>
      <c r="AM417" s="729">
        <v>12</v>
      </c>
      <c r="AN417" s="737">
        <v>0.40100000000000002</v>
      </c>
      <c r="AO417" s="729">
        <v>8</v>
      </c>
      <c r="AP417" s="728">
        <v>0</v>
      </c>
      <c r="AQ417" s="738">
        <v>20</v>
      </c>
      <c r="AR417" s="728">
        <v>0.88</v>
      </c>
      <c r="AS417" s="729">
        <v>10</v>
      </c>
      <c r="AT417" s="728">
        <v>0</v>
      </c>
      <c r="AU417" s="730">
        <v>10</v>
      </c>
      <c r="AV417" s="731">
        <v>0.14899999999999999</v>
      </c>
      <c r="AW417" s="730">
        <v>9</v>
      </c>
      <c r="AX417" s="728">
        <v>0.10400000000000001</v>
      </c>
      <c r="AY417" s="730">
        <v>9</v>
      </c>
      <c r="AZ417" s="728">
        <v>8.5000000000000006E-2</v>
      </c>
      <c r="BA417" s="730">
        <v>8</v>
      </c>
      <c r="BB417" s="733">
        <v>6.6000000000000003E-2</v>
      </c>
      <c r="BC417" s="730">
        <v>2</v>
      </c>
      <c r="BD417" s="6"/>
    </row>
    <row r="418" spans="7:56" s="704" customFormat="1" ht="15">
      <c r="G418" s="1546"/>
      <c r="W418" s="6"/>
      <c r="X418" s="87"/>
      <c r="Y418" s="87"/>
      <c r="Z418" s="739"/>
      <c r="AA418" s="739"/>
      <c r="AB418" s="743"/>
      <c r="AC418" s="108"/>
      <c r="AD418" s="108"/>
      <c r="AE418" s="770" t="s">
        <v>1769</v>
      </c>
      <c r="AF418" s="771" t="s">
        <v>1450</v>
      </c>
      <c r="AG418" s="108"/>
      <c r="AH418" s="454" t="s">
        <v>455</v>
      </c>
      <c r="AI418" s="455">
        <v>9622</v>
      </c>
      <c r="AJ418" s="735">
        <v>6.7911714770797965E-2</v>
      </c>
      <c r="AK418" s="730">
        <v>18</v>
      </c>
      <c r="AL418" s="736">
        <v>48563</v>
      </c>
      <c r="AM418" s="729">
        <v>12</v>
      </c>
      <c r="AN418" s="737">
        <v>0.40100000000000002</v>
      </c>
      <c r="AO418" s="729">
        <v>8</v>
      </c>
      <c r="AP418" s="728">
        <v>0</v>
      </c>
      <c r="AQ418" s="738">
        <v>20</v>
      </c>
      <c r="AR418" s="728">
        <v>0.74299999999999999</v>
      </c>
      <c r="AS418" s="729">
        <v>8</v>
      </c>
      <c r="AT418" s="728">
        <v>1.2E-2</v>
      </c>
      <c r="AU418" s="730">
        <v>9</v>
      </c>
      <c r="AV418" s="731">
        <v>0.158</v>
      </c>
      <c r="AW418" s="730">
        <v>8</v>
      </c>
      <c r="AX418" s="728">
        <v>0.17</v>
      </c>
      <c r="AY418" s="730">
        <v>8</v>
      </c>
      <c r="AZ418" s="728">
        <v>0.10300000000000001</v>
      </c>
      <c r="BA418" s="730">
        <v>7</v>
      </c>
      <c r="BB418" s="733">
        <v>9.0999999999999998E-2</v>
      </c>
      <c r="BC418" s="730">
        <v>3</v>
      </c>
      <c r="BD418" s="6"/>
    </row>
    <row r="419" spans="7:56" s="704" customFormat="1" ht="15">
      <c r="G419" s="1546"/>
      <c r="W419" s="6"/>
      <c r="X419" s="87"/>
      <c r="Y419" s="87"/>
      <c r="Z419" s="739"/>
      <c r="AA419" s="739"/>
      <c r="AB419" s="743"/>
      <c r="AC419" s="108"/>
      <c r="AD419" s="108"/>
      <c r="AE419" s="770" t="s">
        <v>1770</v>
      </c>
      <c r="AF419" s="771" t="s">
        <v>653</v>
      </c>
      <c r="AG419" s="108"/>
      <c r="AH419" s="454" t="s">
        <v>419</v>
      </c>
      <c r="AI419" s="455">
        <v>9601.01</v>
      </c>
      <c r="AJ419" s="735">
        <v>1.8099547511312219E-2</v>
      </c>
      <c r="AK419" s="730">
        <v>27</v>
      </c>
      <c r="AL419" s="736">
        <v>39702</v>
      </c>
      <c r="AM419" s="729">
        <v>16</v>
      </c>
      <c r="AN419" s="737">
        <v>0.33600000000000002</v>
      </c>
      <c r="AO419" s="729">
        <v>6</v>
      </c>
      <c r="AP419" s="728">
        <v>7.9000000000000001E-2</v>
      </c>
      <c r="AQ419" s="738">
        <v>14</v>
      </c>
      <c r="AR419" s="728">
        <v>0.89200000000000002</v>
      </c>
      <c r="AS419" s="729">
        <v>10</v>
      </c>
      <c r="AT419" s="728">
        <v>0</v>
      </c>
      <c r="AU419" s="730">
        <v>10</v>
      </c>
      <c r="AV419" s="731">
        <v>0.249</v>
      </c>
      <c r="AW419" s="730">
        <v>7</v>
      </c>
      <c r="AX419" s="728">
        <v>8.5999999999999993E-2</v>
      </c>
      <c r="AY419" s="730">
        <v>9</v>
      </c>
      <c r="AZ419" s="728">
        <v>2.3E-2</v>
      </c>
      <c r="BA419" s="730">
        <v>10</v>
      </c>
      <c r="BB419" s="733">
        <v>6.8000000000000005E-2</v>
      </c>
      <c r="BC419" s="730">
        <v>2</v>
      </c>
      <c r="BD419" s="6"/>
    </row>
    <row r="420" spans="7:56" s="704" customFormat="1" ht="15">
      <c r="G420" s="1546"/>
      <c r="W420" s="6"/>
      <c r="X420" s="87"/>
      <c r="Y420" s="87"/>
      <c r="Z420" s="739"/>
      <c r="AA420" s="739"/>
      <c r="AB420" s="743"/>
      <c r="AC420" s="108"/>
      <c r="AD420" s="108"/>
      <c r="AE420" s="770" t="s">
        <v>1771</v>
      </c>
      <c r="AF420" s="771" t="s">
        <v>653</v>
      </c>
      <c r="AG420" s="108"/>
      <c r="AH420" s="454" t="s">
        <v>419</v>
      </c>
      <c r="AI420" s="455">
        <v>9601.02</v>
      </c>
      <c r="AJ420" s="735">
        <v>1.8099547511312219E-2</v>
      </c>
      <c r="AK420" s="730">
        <v>27</v>
      </c>
      <c r="AL420" s="736">
        <v>39702</v>
      </c>
      <c r="AM420" s="729">
        <v>16</v>
      </c>
      <c r="AN420" s="737">
        <v>0.33600000000000002</v>
      </c>
      <c r="AO420" s="729">
        <v>6</v>
      </c>
      <c r="AP420" s="728">
        <v>7.9000000000000001E-2</v>
      </c>
      <c r="AQ420" s="738">
        <v>14</v>
      </c>
      <c r="AR420" s="728">
        <v>0.78799999999999992</v>
      </c>
      <c r="AS420" s="729">
        <v>9</v>
      </c>
      <c r="AT420" s="728">
        <v>0</v>
      </c>
      <c r="AU420" s="730">
        <v>10</v>
      </c>
      <c r="AV420" s="731">
        <v>0.155</v>
      </c>
      <c r="AW420" s="730">
        <v>8</v>
      </c>
      <c r="AX420" s="728">
        <v>0.17600000000000002</v>
      </c>
      <c r="AY420" s="730">
        <v>8</v>
      </c>
      <c r="AZ420" s="728">
        <v>9.6000000000000002E-2</v>
      </c>
      <c r="BA420" s="730">
        <v>7</v>
      </c>
      <c r="BB420" s="733">
        <v>0.17399999999999999</v>
      </c>
      <c r="BC420" s="730">
        <v>5</v>
      </c>
      <c r="BD420" s="6"/>
    </row>
    <row r="421" spans="7:56" s="704" customFormat="1" ht="15">
      <c r="G421" s="1546"/>
      <c r="W421" s="6"/>
      <c r="X421" s="87"/>
      <c r="Y421" s="87"/>
      <c r="Z421" s="739"/>
      <c r="AA421" s="739"/>
      <c r="AB421" s="743"/>
      <c r="AC421" s="108"/>
      <c r="AD421" s="108"/>
      <c r="AE421" s="770" t="s">
        <v>1772</v>
      </c>
      <c r="AF421" s="771" t="s">
        <v>1450</v>
      </c>
      <c r="AG421" s="108"/>
      <c r="AH421" s="454" t="s">
        <v>419</v>
      </c>
      <c r="AI421" s="455">
        <v>9602</v>
      </c>
      <c r="AJ421" s="735">
        <v>1.8099547511312219E-2</v>
      </c>
      <c r="AK421" s="730">
        <v>27</v>
      </c>
      <c r="AL421" s="736">
        <v>39702</v>
      </c>
      <c r="AM421" s="729">
        <v>16</v>
      </c>
      <c r="AN421" s="737">
        <v>0.33600000000000002</v>
      </c>
      <c r="AO421" s="729">
        <v>6</v>
      </c>
      <c r="AP421" s="728">
        <v>7.9000000000000001E-2</v>
      </c>
      <c r="AQ421" s="738">
        <v>14</v>
      </c>
      <c r="AR421" s="728">
        <v>0.83599999999999997</v>
      </c>
      <c r="AS421" s="729">
        <v>9</v>
      </c>
      <c r="AT421" s="728">
        <v>1.3000000000000001E-2</v>
      </c>
      <c r="AU421" s="730">
        <v>9</v>
      </c>
      <c r="AV421" s="731">
        <v>0.17499999999999999</v>
      </c>
      <c r="AW421" s="730">
        <v>8</v>
      </c>
      <c r="AX421" s="728">
        <v>0.157</v>
      </c>
      <c r="AY421" s="730">
        <v>8</v>
      </c>
      <c r="AZ421" s="728">
        <v>3.7999999999999999E-2</v>
      </c>
      <c r="BA421" s="730">
        <v>9</v>
      </c>
      <c r="BB421" s="733">
        <v>0.11900000000000001</v>
      </c>
      <c r="BC421" s="730">
        <v>4</v>
      </c>
      <c r="BD421" s="6"/>
    </row>
    <row r="422" spans="7:56" s="704" customFormat="1" ht="15">
      <c r="G422" s="1546"/>
      <c r="W422" s="6"/>
      <c r="X422" s="87"/>
      <c r="Y422" s="87"/>
      <c r="Z422" s="739"/>
      <c r="AA422" s="739"/>
      <c r="AB422" s="743"/>
      <c r="AC422" s="108"/>
      <c r="AD422" s="108"/>
      <c r="AE422" s="770" t="s">
        <v>1773</v>
      </c>
      <c r="AF422" s="771" t="s">
        <v>653</v>
      </c>
      <c r="AG422" s="108"/>
      <c r="AH422" s="454" t="s">
        <v>419</v>
      </c>
      <c r="AI422" s="455">
        <v>9603</v>
      </c>
      <c r="AJ422" s="735">
        <v>1.8099547511312219E-2</v>
      </c>
      <c r="AK422" s="730">
        <v>27</v>
      </c>
      <c r="AL422" s="736">
        <v>39702</v>
      </c>
      <c r="AM422" s="729">
        <v>16</v>
      </c>
      <c r="AN422" s="737">
        <v>0.33600000000000002</v>
      </c>
      <c r="AO422" s="729">
        <v>6</v>
      </c>
      <c r="AP422" s="728">
        <v>7.9000000000000001E-2</v>
      </c>
      <c r="AQ422" s="738">
        <v>14</v>
      </c>
      <c r="AR422" s="728">
        <v>0.755</v>
      </c>
      <c r="AS422" s="729">
        <v>8</v>
      </c>
      <c r="AT422" s="728">
        <v>8.0000000000000002E-3</v>
      </c>
      <c r="AU422" s="730">
        <v>10</v>
      </c>
      <c r="AV422" s="731">
        <v>0.121</v>
      </c>
      <c r="AW422" s="730">
        <v>9</v>
      </c>
      <c r="AX422" s="728">
        <v>0.105</v>
      </c>
      <c r="AY422" s="730">
        <v>9</v>
      </c>
      <c r="AZ422" s="728">
        <v>5.4000000000000006E-2</v>
      </c>
      <c r="BA422" s="730">
        <v>9</v>
      </c>
      <c r="BB422" s="733">
        <v>6.9000000000000006E-2</v>
      </c>
      <c r="BC422" s="730">
        <v>2</v>
      </c>
      <c r="BD422" s="6"/>
    </row>
    <row r="423" spans="7:56" s="704" customFormat="1" ht="15">
      <c r="G423" s="1546"/>
      <c r="W423" s="6"/>
      <c r="X423" s="87"/>
      <c r="Y423" s="87"/>
      <c r="Z423" s="739"/>
      <c r="AA423" s="739"/>
      <c r="AB423" s="743"/>
      <c r="AC423" s="108"/>
      <c r="AD423" s="108"/>
      <c r="AE423" s="770" t="s">
        <v>2578</v>
      </c>
      <c r="AF423" s="771" t="s">
        <v>653</v>
      </c>
      <c r="AG423" s="108"/>
      <c r="AH423" s="454" t="s">
        <v>456</v>
      </c>
      <c r="AI423" s="455">
        <v>9638</v>
      </c>
      <c r="AJ423" s="735">
        <v>0.15480769230769231</v>
      </c>
      <c r="AK423" s="730">
        <v>3</v>
      </c>
      <c r="AL423" s="736">
        <v>48317</v>
      </c>
      <c r="AM423" s="729">
        <v>12</v>
      </c>
      <c r="AN423" s="737">
        <v>0.45799999999999996</v>
      </c>
      <c r="AO423" s="729">
        <v>10</v>
      </c>
      <c r="AP423" s="728">
        <v>6.3E-2</v>
      </c>
      <c r="AQ423" s="738">
        <v>14</v>
      </c>
      <c r="AR423" s="728">
        <v>0.79900000000000004</v>
      </c>
      <c r="AS423" s="729">
        <v>9</v>
      </c>
      <c r="AT423" s="728">
        <v>1.3000000000000001E-2</v>
      </c>
      <c r="AU423" s="730">
        <v>9</v>
      </c>
      <c r="AV423" s="731">
        <v>0.20499999999999999</v>
      </c>
      <c r="AW423" s="730">
        <v>8</v>
      </c>
      <c r="AX423" s="728">
        <v>0.16</v>
      </c>
      <c r="AY423" s="730">
        <v>8</v>
      </c>
      <c r="AZ423" s="728">
        <v>5.5999999999999994E-2</v>
      </c>
      <c r="BA423" s="730">
        <v>9</v>
      </c>
      <c r="BB423" s="733">
        <v>7.8E-2</v>
      </c>
      <c r="BC423" s="730">
        <v>3</v>
      </c>
      <c r="BD423" s="6"/>
    </row>
    <row r="424" spans="7:56" s="704" customFormat="1" ht="15">
      <c r="G424" s="1546"/>
      <c r="W424" s="6"/>
      <c r="X424" s="87"/>
      <c r="Y424" s="87"/>
      <c r="Z424" s="739"/>
      <c r="AA424" s="739"/>
      <c r="AB424" s="743"/>
      <c r="AC424" s="108"/>
      <c r="AD424" s="108"/>
      <c r="AE424" s="770" t="s">
        <v>2579</v>
      </c>
      <c r="AF424" s="771" t="s">
        <v>653</v>
      </c>
      <c r="AG424" s="108"/>
      <c r="AH424" s="454" t="s">
        <v>456</v>
      </c>
      <c r="AI424" s="455">
        <v>9639</v>
      </c>
      <c r="AJ424" s="735">
        <v>0.15480769230769231</v>
      </c>
      <c r="AK424" s="730">
        <v>3</v>
      </c>
      <c r="AL424" s="736">
        <v>48317</v>
      </c>
      <c r="AM424" s="729">
        <v>12</v>
      </c>
      <c r="AN424" s="737">
        <v>0.45799999999999996</v>
      </c>
      <c r="AO424" s="729">
        <v>10</v>
      </c>
      <c r="AP424" s="728">
        <v>6.3E-2</v>
      </c>
      <c r="AQ424" s="738">
        <v>14</v>
      </c>
      <c r="AR424" s="728">
        <v>0.86799999999999999</v>
      </c>
      <c r="AS424" s="729">
        <v>10</v>
      </c>
      <c r="AT424" s="728">
        <v>6.9999999999999993E-3</v>
      </c>
      <c r="AU424" s="730">
        <v>10</v>
      </c>
      <c r="AV424" s="731">
        <v>0.10400000000000001</v>
      </c>
      <c r="AW424" s="730">
        <v>9</v>
      </c>
      <c r="AX424" s="728">
        <v>0.129</v>
      </c>
      <c r="AY424" s="730">
        <v>8</v>
      </c>
      <c r="AZ424" s="728">
        <v>8.6999999999999994E-2</v>
      </c>
      <c r="BA424" s="730">
        <v>8</v>
      </c>
      <c r="BB424" s="733">
        <v>0.12300000000000001</v>
      </c>
      <c r="BC424" s="730">
        <v>4</v>
      </c>
      <c r="BD424" s="6"/>
    </row>
    <row r="425" spans="7:56" s="704" customFormat="1" ht="15">
      <c r="G425" s="1546"/>
      <c r="W425" s="6"/>
      <c r="X425" s="87"/>
      <c r="Y425" s="87"/>
      <c r="Z425" s="739"/>
      <c r="AA425" s="739"/>
      <c r="AB425" s="743"/>
      <c r="AC425" s="108"/>
      <c r="AD425" s="108"/>
      <c r="AE425" s="770" t="s">
        <v>2580</v>
      </c>
      <c r="AF425" s="771" t="s">
        <v>653</v>
      </c>
      <c r="AG425" s="108"/>
      <c r="AH425" s="454" t="s">
        <v>456</v>
      </c>
      <c r="AI425" s="455">
        <v>9640</v>
      </c>
      <c r="AJ425" s="735">
        <v>0.15480769230769231</v>
      </c>
      <c r="AK425" s="730">
        <v>3</v>
      </c>
      <c r="AL425" s="736">
        <v>48317</v>
      </c>
      <c r="AM425" s="729">
        <v>12</v>
      </c>
      <c r="AN425" s="737">
        <v>0.45799999999999996</v>
      </c>
      <c r="AO425" s="729">
        <v>10</v>
      </c>
      <c r="AP425" s="728">
        <v>6.3E-2</v>
      </c>
      <c r="AQ425" s="738">
        <v>14</v>
      </c>
      <c r="AR425" s="728">
        <v>0.71299999999999997</v>
      </c>
      <c r="AS425" s="729">
        <v>8</v>
      </c>
      <c r="AT425" s="728">
        <v>2.2000000000000002E-2</v>
      </c>
      <c r="AU425" s="730">
        <v>8</v>
      </c>
      <c r="AV425" s="731">
        <v>0.20699999999999999</v>
      </c>
      <c r="AW425" s="730">
        <v>8</v>
      </c>
      <c r="AX425" s="728">
        <v>0.27200000000000002</v>
      </c>
      <c r="AY425" s="730">
        <v>6</v>
      </c>
      <c r="AZ425" s="728">
        <v>4.5999999999999999E-2</v>
      </c>
      <c r="BA425" s="730">
        <v>9</v>
      </c>
      <c r="BB425" s="733">
        <v>0.14599999999999999</v>
      </c>
      <c r="BC425" s="730">
        <v>4</v>
      </c>
      <c r="BD425" s="6"/>
    </row>
    <row r="426" spans="7:56" s="704" customFormat="1" ht="15">
      <c r="G426" s="1546"/>
      <c r="W426" s="6"/>
      <c r="X426" s="87"/>
      <c r="Y426" s="87"/>
      <c r="Z426" s="739"/>
      <c r="AA426" s="739"/>
      <c r="AB426" s="743"/>
      <c r="AC426" s="108"/>
      <c r="AD426" s="108"/>
      <c r="AE426" s="770" t="s">
        <v>1261</v>
      </c>
      <c r="AF426" s="771" t="s">
        <v>653</v>
      </c>
      <c r="AG426" s="108"/>
      <c r="AH426" s="454" t="s">
        <v>456</v>
      </c>
      <c r="AI426" s="455">
        <v>9641</v>
      </c>
      <c r="AJ426" s="735">
        <v>0.15480769230769231</v>
      </c>
      <c r="AK426" s="730">
        <v>3</v>
      </c>
      <c r="AL426" s="736">
        <v>48317</v>
      </c>
      <c r="AM426" s="729">
        <v>12</v>
      </c>
      <c r="AN426" s="737">
        <v>0.45799999999999996</v>
      </c>
      <c r="AO426" s="729">
        <v>10</v>
      </c>
      <c r="AP426" s="728">
        <v>6.3E-2</v>
      </c>
      <c r="AQ426" s="738">
        <v>14</v>
      </c>
      <c r="AR426" s="728">
        <v>0.88300000000000001</v>
      </c>
      <c r="AS426" s="729">
        <v>10</v>
      </c>
      <c r="AT426" s="728">
        <v>1.8000000000000002E-2</v>
      </c>
      <c r="AU426" s="730">
        <v>9</v>
      </c>
      <c r="AV426" s="731">
        <v>0.11800000000000001</v>
      </c>
      <c r="AW426" s="730">
        <v>9</v>
      </c>
      <c r="AX426" s="728">
        <v>0.13300000000000001</v>
      </c>
      <c r="AY426" s="730">
        <v>8</v>
      </c>
      <c r="AZ426" s="728">
        <v>8.5999999999999993E-2</v>
      </c>
      <c r="BA426" s="730">
        <v>8</v>
      </c>
      <c r="BB426" s="733">
        <v>0.09</v>
      </c>
      <c r="BC426" s="730">
        <v>3</v>
      </c>
      <c r="BD426" s="6"/>
    </row>
    <row r="427" spans="7:56" s="704" customFormat="1" ht="15">
      <c r="G427" s="1546"/>
      <c r="W427" s="6"/>
      <c r="X427" s="87"/>
      <c r="Y427" s="87"/>
      <c r="Z427" s="739"/>
      <c r="AA427" s="739"/>
      <c r="AB427" s="743"/>
      <c r="AC427" s="108"/>
      <c r="AD427" s="108"/>
      <c r="AE427" s="770" t="s">
        <v>1262</v>
      </c>
      <c r="AF427" s="771" t="s">
        <v>1450</v>
      </c>
      <c r="AG427" s="108"/>
      <c r="AH427" s="454" t="s">
        <v>456</v>
      </c>
      <c r="AI427" s="455">
        <v>9642</v>
      </c>
      <c r="AJ427" s="735">
        <v>0.15480769230769231</v>
      </c>
      <c r="AK427" s="730">
        <v>3</v>
      </c>
      <c r="AL427" s="736">
        <v>48317</v>
      </c>
      <c r="AM427" s="729">
        <v>12</v>
      </c>
      <c r="AN427" s="737">
        <v>0.45799999999999996</v>
      </c>
      <c r="AO427" s="729">
        <v>10</v>
      </c>
      <c r="AP427" s="728">
        <v>6.3E-2</v>
      </c>
      <c r="AQ427" s="738">
        <v>14</v>
      </c>
      <c r="AR427" s="728">
        <v>0.79500000000000004</v>
      </c>
      <c r="AS427" s="729">
        <v>9</v>
      </c>
      <c r="AT427" s="728">
        <v>0.02</v>
      </c>
      <c r="AU427" s="730">
        <v>9</v>
      </c>
      <c r="AV427" s="731">
        <v>0.18</v>
      </c>
      <c r="AW427" s="730">
        <v>8</v>
      </c>
      <c r="AX427" s="728">
        <v>0.20899999999999999</v>
      </c>
      <c r="AY427" s="730">
        <v>7</v>
      </c>
      <c r="AZ427" s="728">
        <v>8.900000000000001E-2</v>
      </c>
      <c r="BA427" s="730">
        <v>7</v>
      </c>
      <c r="BB427" s="733">
        <v>5.5999999999999994E-2</v>
      </c>
      <c r="BC427" s="730">
        <v>2</v>
      </c>
      <c r="BD427" s="6"/>
    </row>
    <row r="428" spans="7:56" s="704" customFormat="1" ht="15">
      <c r="G428" s="1546"/>
      <c r="W428" s="6"/>
      <c r="X428" s="87"/>
      <c r="Y428" s="87"/>
      <c r="Z428" s="739"/>
      <c r="AA428" s="739"/>
      <c r="AB428" s="743"/>
      <c r="AC428" s="108"/>
      <c r="AD428" s="108"/>
      <c r="AE428" s="770" t="s">
        <v>1263</v>
      </c>
      <c r="AF428" s="771" t="s">
        <v>1450</v>
      </c>
      <c r="AG428" s="108"/>
      <c r="AH428" s="454" t="s">
        <v>456</v>
      </c>
      <c r="AI428" s="455">
        <v>9643</v>
      </c>
      <c r="AJ428" s="735">
        <v>0.15480769230769231</v>
      </c>
      <c r="AK428" s="730">
        <v>3</v>
      </c>
      <c r="AL428" s="736">
        <v>48317</v>
      </c>
      <c r="AM428" s="729">
        <v>12</v>
      </c>
      <c r="AN428" s="737">
        <v>0.45799999999999996</v>
      </c>
      <c r="AO428" s="729">
        <v>10</v>
      </c>
      <c r="AP428" s="728">
        <v>6.3E-2</v>
      </c>
      <c r="AQ428" s="738">
        <v>14</v>
      </c>
      <c r="AR428" s="728">
        <v>0.84200000000000008</v>
      </c>
      <c r="AS428" s="729">
        <v>9</v>
      </c>
      <c r="AT428" s="728">
        <v>2.7000000000000003E-2</v>
      </c>
      <c r="AU428" s="730">
        <v>8</v>
      </c>
      <c r="AV428" s="731">
        <v>0.13200000000000001</v>
      </c>
      <c r="AW428" s="730">
        <v>9</v>
      </c>
      <c r="AX428" s="728">
        <v>0.11599999999999999</v>
      </c>
      <c r="AY428" s="730">
        <v>9</v>
      </c>
      <c r="AZ428" s="728">
        <v>8.8000000000000009E-2</v>
      </c>
      <c r="BA428" s="730">
        <v>8</v>
      </c>
      <c r="BB428" s="733">
        <v>8.4000000000000005E-2</v>
      </c>
      <c r="BC428" s="730">
        <v>3</v>
      </c>
      <c r="BD428" s="6"/>
    </row>
    <row r="429" spans="7:56" s="704" customFormat="1" ht="15">
      <c r="G429" s="1546"/>
      <c r="W429" s="6"/>
      <c r="X429" s="87"/>
      <c r="Y429" s="87"/>
      <c r="Z429" s="739"/>
      <c r="AA429" s="739"/>
      <c r="AB429" s="743"/>
      <c r="AC429" s="108"/>
      <c r="AD429" s="108"/>
      <c r="AE429" s="770" t="s">
        <v>1264</v>
      </c>
      <c r="AF429" s="771" t="s">
        <v>1450</v>
      </c>
      <c r="AG429" s="108"/>
      <c r="AH429" s="454" t="s">
        <v>456</v>
      </c>
      <c r="AI429" s="455">
        <v>9644</v>
      </c>
      <c r="AJ429" s="735">
        <v>0.15480769230769231</v>
      </c>
      <c r="AK429" s="730">
        <v>3</v>
      </c>
      <c r="AL429" s="736">
        <v>48317</v>
      </c>
      <c r="AM429" s="729">
        <v>12</v>
      </c>
      <c r="AN429" s="737">
        <v>0.45799999999999996</v>
      </c>
      <c r="AO429" s="729">
        <v>10</v>
      </c>
      <c r="AP429" s="728">
        <v>6.3E-2</v>
      </c>
      <c r="AQ429" s="738">
        <v>14</v>
      </c>
      <c r="AR429" s="728">
        <v>0.85599999999999998</v>
      </c>
      <c r="AS429" s="729">
        <v>10</v>
      </c>
      <c r="AT429" s="728">
        <v>3.0000000000000001E-3</v>
      </c>
      <c r="AU429" s="730">
        <v>10</v>
      </c>
      <c r="AV429" s="731">
        <v>0.158</v>
      </c>
      <c r="AW429" s="730">
        <v>8</v>
      </c>
      <c r="AX429" s="728">
        <v>0.17899999999999999</v>
      </c>
      <c r="AY429" s="730">
        <v>8</v>
      </c>
      <c r="AZ429" s="728">
        <v>0.129</v>
      </c>
      <c r="BA429" s="730">
        <v>6</v>
      </c>
      <c r="BB429" s="733">
        <v>0.05</v>
      </c>
      <c r="BC429" s="730">
        <v>2</v>
      </c>
      <c r="BD429" s="6"/>
    </row>
    <row r="430" spans="7:56" s="704" customFormat="1" ht="15">
      <c r="G430" s="1546"/>
      <c r="W430" s="6"/>
      <c r="X430" s="87"/>
      <c r="Y430" s="87"/>
      <c r="Z430" s="739"/>
      <c r="AA430" s="739"/>
      <c r="AB430" s="743"/>
      <c r="AC430" s="108"/>
      <c r="AD430" s="108"/>
      <c r="AE430" s="770" t="s">
        <v>1265</v>
      </c>
      <c r="AF430" s="771" t="s">
        <v>653</v>
      </c>
      <c r="AG430" s="108"/>
      <c r="AH430" s="454" t="s">
        <v>456</v>
      </c>
      <c r="AI430" s="455">
        <v>9645</v>
      </c>
      <c r="AJ430" s="735">
        <v>0.15480769230769231</v>
      </c>
      <c r="AK430" s="730">
        <v>3</v>
      </c>
      <c r="AL430" s="736">
        <v>48317</v>
      </c>
      <c r="AM430" s="729">
        <v>12</v>
      </c>
      <c r="AN430" s="737">
        <v>0.45799999999999996</v>
      </c>
      <c r="AO430" s="729">
        <v>10</v>
      </c>
      <c r="AP430" s="728">
        <v>6.3E-2</v>
      </c>
      <c r="AQ430" s="738">
        <v>14</v>
      </c>
      <c r="AR430" s="728">
        <v>0.90099999999999991</v>
      </c>
      <c r="AS430" s="729">
        <v>10</v>
      </c>
      <c r="AT430" s="728">
        <v>2.3E-2</v>
      </c>
      <c r="AU430" s="730">
        <v>8</v>
      </c>
      <c r="AV430" s="731">
        <v>0.17499999999999999</v>
      </c>
      <c r="AW430" s="730">
        <v>8</v>
      </c>
      <c r="AX430" s="728">
        <v>0.121</v>
      </c>
      <c r="AY430" s="730">
        <v>8</v>
      </c>
      <c r="AZ430" s="728">
        <v>7.2999999999999995E-2</v>
      </c>
      <c r="BA430" s="730">
        <v>8</v>
      </c>
      <c r="BB430" s="733">
        <v>0.04</v>
      </c>
      <c r="BC430" s="730">
        <v>2</v>
      </c>
      <c r="BD430" s="6"/>
    </row>
    <row r="431" spans="7:56" s="704" customFormat="1" ht="15">
      <c r="G431" s="1546"/>
      <c r="W431" s="6"/>
      <c r="X431" s="87"/>
      <c r="Y431" s="87"/>
      <c r="Z431" s="739"/>
      <c r="AA431" s="739"/>
      <c r="AB431" s="743"/>
      <c r="AC431" s="108"/>
      <c r="AD431" s="108"/>
      <c r="AE431" s="770" t="s">
        <v>1266</v>
      </c>
      <c r="AF431" s="771" t="s">
        <v>653</v>
      </c>
      <c r="AG431" s="108"/>
      <c r="AH431" s="454" t="s">
        <v>457</v>
      </c>
      <c r="AI431" s="455">
        <v>201</v>
      </c>
      <c r="AJ431" s="735">
        <v>0.12262431658422286</v>
      </c>
      <c r="AK431" s="730">
        <v>9</v>
      </c>
      <c r="AL431" s="736">
        <v>59626</v>
      </c>
      <c r="AM431" s="729">
        <v>8</v>
      </c>
      <c r="AN431" s="737">
        <v>0.38299999999999995</v>
      </c>
      <c r="AO431" s="729">
        <v>8</v>
      </c>
      <c r="AP431" s="728">
        <v>8.5000000000000006E-2</v>
      </c>
      <c r="AQ431" s="738">
        <v>12</v>
      </c>
      <c r="AR431" s="728">
        <v>0.81700000000000006</v>
      </c>
      <c r="AS431" s="729">
        <v>9</v>
      </c>
      <c r="AT431" s="728">
        <v>3.2000000000000001E-2</v>
      </c>
      <c r="AU431" s="730">
        <v>8</v>
      </c>
      <c r="AV431" s="731">
        <v>0.125</v>
      </c>
      <c r="AW431" s="730">
        <v>9</v>
      </c>
      <c r="AX431" s="728">
        <v>0.11699999999999999</v>
      </c>
      <c r="AY431" s="730">
        <v>9</v>
      </c>
      <c r="AZ431" s="728">
        <v>2.4E-2</v>
      </c>
      <c r="BA431" s="730">
        <v>10</v>
      </c>
      <c r="BB431" s="733">
        <v>8.1000000000000003E-2</v>
      </c>
      <c r="BC431" s="730">
        <v>3</v>
      </c>
      <c r="BD431" s="6"/>
    </row>
    <row r="432" spans="7:56" s="704" customFormat="1" ht="15">
      <c r="G432" s="1546"/>
      <c r="W432" s="6"/>
      <c r="X432" s="87"/>
      <c r="Y432" s="87"/>
      <c r="Z432" s="739"/>
      <c r="AA432" s="739"/>
      <c r="AB432" s="743"/>
      <c r="AC432" s="108"/>
      <c r="AD432" s="108"/>
      <c r="AE432" s="770" t="s">
        <v>1267</v>
      </c>
      <c r="AF432" s="771" t="s">
        <v>653</v>
      </c>
      <c r="AG432" s="108"/>
      <c r="AH432" s="454" t="s">
        <v>457</v>
      </c>
      <c r="AI432" s="455">
        <v>202</v>
      </c>
      <c r="AJ432" s="735">
        <v>0.12262431658422286</v>
      </c>
      <c r="AK432" s="730">
        <v>9</v>
      </c>
      <c r="AL432" s="736">
        <v>59626</v>
      </c>
      <c r="AM432" s="729">
        <v>8</v>
      </c>
      <c r="AN432" s="737">
        <v>0.38299999999999995</v>
      </c>
      <c r="AO432" s="729">
        <v>8</v>
      </c>
      <c r="AP432" s="728">
        <v>8.5000000000000006E-2</v>
      </c>
      <c r="AQ432" s="738">
        <v>12</v>
      </c>
      <c r="AR432" s="728">
        <v>0.86</v>
      </c>
      <c r="AS432" s="729">
        <v>10</v>
      </c>
      <c r="AT432" s="728">
        <v>3.6000000000000004E-2</v>
      </c>
      <c r="AU432" s="730">
        <v>7</v>
      </c>
      <c r="AV432" s="731">
        <v>0.13200000000000001</v>
      </c>
      <c r="AW432" s="730">
        <v>9</v>
      </c>
      <c r="AX432" s="728">
        <v>0.16399999999999998</v>
      </c>
      <c r="AY432" s="730">
        <v>8</v>
      </c>
      <c r="AZ432" s="728">
        <v>6.0999999999999999E-2</v>
      </c>
      <c r="BA432" s="730">
        <v>8</v>
      </c>
      <c r="BB432" s="733">
        <v>0.1</v>
      </c>
      <c r="BC432" s="730">
        <v>3</v>
      </c>
      <c r="BD432" s="6"/>
    </row>
    <row r="433" spans="7:56" s="704" customFormat="1" ht="15">
      <c r="G433" s="1546"/>
      <c r="W433" s="6"/>
      <c r="X433" s="87"/>
      <c r="Y433" s="87"/>
      <c r="Z433" s="739"/>
      <c r="AA433" s="739"/>
      <c r="AB433" s="743"/>
      <c r="AC433" s="108"/>
      <c r="AD433" s="108"/>
      <c r="AE433" s="770" t="s">
        <v>1268</v>
      </c>
      <c r="AF433" s="771" t="s">
        <v>653</v>
      </c>
      <c r="AG433" s="108"/>
      <c r="AH433" s="454" t="s">
        <v>457</v>
      </c>
      <c r="AI433" s="455">
        <v>203</v>
      </c>
      <c r="AJ433" s="735">
        <v>0.12262431658422286</v>
      </c>
      <c r="AK433" s="730">
        <v>9</v>
      </c>
      <c r="AL433" s="736">
        <v>59626</v>
      </c>
      <c r="AM433" s="729">
        <v>8</v>
      </c>
      <c r="AN433" s="737">
        <v>0.38299999999999995</v>
      </c>
      <c r="AO433" s="729">
        <v>8</v>
      </c>
      <c r="AP433" s="728">
        <v>8.5000000000000006E-2</v>
      </c>
      <c r="AQ433" s="738">
        <v>12</v>
      </c>
      <c r="AR433" s="728">
        <v>0.90200000000000002</v>
      </c>
      <c r="AS433" s="729">
        <v>10</v>
      </c>
      <c r="AT433" s="728">
        <v>1.4999999999999999E-2</v>
      </c>
      <c r="AU433" s="730">
        <v>9</v>
      </c>
      <c r="AV433" s="731">
        <v>7.6999999999999999E-2</v>
      </c>
      <c r="AW433" s="730">
        <v>10</v>
      </c>
      <c r="AX433" s="728">
        <v>0.06</v>
      </c>
      <c r="AY433" s="730">
        <v>9</v>
      </c>
      <c r="AZ433" s="728">
        <v>1.8000000000000002E-2</v>
      </c>
      <c r="BA433" s="730">
        <v>10</v>
      </c>
      <c r="BB433" s="733">
        <v>0.23499999999999999</v>
      </c>
      <c r="BC433" s="730">
        <v>7</v>
      </c>
      <c r="BD433" s="6"/>
    </row>
    <row r="434" spans="7:56" s="704" customFormat="1" ht="15">
      <c r="G434" s="1546"/>
      <c r="W434" s="6"/>
      <c r="X434" s="87"/>
      <c r="Y434" s="87"/>
      <c r="Z434" s="739"/>
      <c r="AA434" s="739"/>
      <c r="AB434" s="743"/>
      <c r="AC434" s="108"/>
      <c r="AD434" s="108"/>
      <c r="AE434" s="772" t="s">
        <v>1269</v>
      </c>
      <c r="AF434" s="771" t="s">
        <v>653</v>
      </c>
      <c r="AG434" s="108"/>
      <c r="AH434" s="454" t="s">
        <v>457</v>
      </c>
      <c r="AI434" s="455">
        <v>204</v>
      </c>
      <c r="AJ434" s="735">
        <v>0.12262431658422286</v>
      </c>
      <c r="AK434" s="730">
        <v>9</v>
      </c>
      <c r="AL434" s="736">
        <v>59626</v>
      </c>
      <c r="AM434" s="729">
        <v>8</v>
      </c>
      <c r="AN434" s="737">
        <v>0.38299999999999995</v>
      </c>
      <c r="AO434" s="729">
        <v>8</v>
      </c>
      <c r="AP434" s="728">
        <v>8.5000000000000006E-2</v>
      </c>
      <c r="AQ434" s="738">
        <v>12</v>
      </c>
      <c r="AR434" s="728">
        <v>0.88200000000000001</v>
      </c>
      <c r="AS434" s="729">
        <v>10</v>
      </c>
      <c r="AT434" s="728">
        <v>8.9999999999999993E-3</v>
      </c>
      <c r="AU434" s="730">
        <v>10</v>
      </c>
      <c r="AV434" s="731">
        <v>5.7999999999999996E-2</v>
      </c>
      <c r="AW434" s="730">
        <v>10</v>
      </c>
      <c r="AX434" s="728">
        <v>7.0999999999999994E-2</v>
      </c>
      <c r="AY434" s="730">
        <v>9</v>
      </c>
      <c r="AZ434" s="728">
        <v>9.0000000000000011E-3</v>
      </c>
      <c r="BA434" s="730">
        <v>10</v>
      </c>
      <c r="BB434" s="733">
        <v>0.18100000000000002</v>
      </c>
      <c r="BC434" s="730">
        <v>5</v>
      </c>
      <c r="BD434" s="6"/>
    </row>
    <row r="435" spans="7:56" s="704" customFormat="1" ht="15">
      <c r="G435" s="1546"/>
      <c r="W435" s="6"/>
      <c r="X435" s="87"/>
      <c r="Y435" s="87"/>
      <c r="Z435" s="739"/>
      <c r="AA435" s="739"/>
      <c r="AB435" s="743"/>
      <c r="AC435" s="108"/>
      <c r="AD435" s="108"/>
      <c r="AE435" s="770" t="s">
        <v>1270</v>
      </c>
      <c r="AF435" s="771" t="s">
        <v>1450</v>
      </c>
      <c r="AG435" s="108"/>
      <c r="AH435" s="454" t="s">
        <v>457</v>
      </c>
      <c r="AI435" s="455">
        <v>205</v>
      </c>
      <c r="AJ435" s="735">
        <v>0.12262431658422286</v>
      </c>
      <c r="AK435" s="730">
        <v>9</v>
      </c>
      <c r="AL435" s="736">
        <v>59626</v>
      </c>
      <c r="AM435" s="729">
        <v>8</v>
      </c>
      <c r="AN435" s="737">
        <v>0.38299999999999995</v>
      </c>
      <c r="AO435" s="729">
        <v>8</v>
      </c>
      <c r="AP435" s="728">
        <v>8.5000000000000006E-2</v>
      </c>
      <c r="AQ435" s="738">
        <v>12</v>
      </c>
      <c r="AR435" s="728">
        <v>0.80700000000000005</v>
      </c>
      <c r="AS435" s="729">
        <v>9</v>
      </c>
      <c r="AT435" s="728">
        <v>6.9999999999999993E-3</v>
      </c>
      <c r="AU435" s="730">
        <v>10</v>
      </c>
      <c r="AV435" s="731">
        <v>0.183</v>
      </c>
      <c r="AW435" s="730">
        <v>8</v>
      </c>
      <c r="AX435" s="728">
        <v>0.14899999999999999</v>
      </c>
      <c r="AY435" s="730">
        <v>8</v>
      </c>
      <c r="AZ435" s="728">
        <v>2.7000000000000003E-2</v>
      </c>
      <c r="BA435" s="730">
        <v>10</v>
      </c>
      <c r="BB435" s="733">
        <v>0.154</v>
      </c>
      <c r="BC435" s="730">
        <v>5</v>
      </c>
      <c r="BD435" s="6"/>
    </row>
    <row r="436" spans="7:56" s="704" customFormat="1" ht="15">
      <c r="G436" s="1546"/>
      <c r="W436" s="6"/>
      <c r="X436" s="87"/>
      <c r="Y436" s="87"/>
      <c r="Z436" s="739"/>
      <c r="AA436" s="739"/>
      <c r="AB436" s="743"/>
      <c r="AC436" s="108"/>
      <c r="AD436" s="108"/>
      <c r="AE436" s="770" t="s">
        <v>2581</v>
      </c>
      <c r="AF436" s="771" t="s">
        <v>653</v>
      </c>
      <c r="AG436" s="108"/>
      <c r="AH436" s="454" t="s">
        <v>457</v>
      </c>
      <c r="AI436" s="455">
        <v>206.01</v>
      </c>
      <c r="AJ436" s="735">
        <v>0.12262431658422286</v>
      </c>
      <c r="AK436" s="730">
        <v>9</v>
      </c>
      <c r="AL436" s="736">
        <v>59626</v>
      </c>
      <c r="AM436" s="729">
        <v>8</v>
      </c>
      <c r="AN436" s="737">
        <v>0.38299999999999995</v>
      </c>
      <c r="AO436" s="729">
        <v>8</v>
      </c>
      <c r="AP436" s="728">
        <v>8.5000000000000006E-2</v>
      </c>
      <c r="AQ436" s="738">
        <v>12</v>
      </c>
      <c r="AR436" s="728">
        <v>0.7609999999999999</v>
      </c>
      <c r="AS436" s="729">
        <v>9</v>
      </c>
      <c r="AT436" s="728">
        <v>0</v>
      </c>
      <c r="AU436" s="730">
        <v>10</v>
      </c>
      <c r="AV436" s="731">
        <v>1.9E-2</v>
      </c>
      <c r="AW436" s="730">
        <v>10</v>
      </c>
      <c r="AX436" s="728">
        <v>0</v>
      </c>
      <c r="AY436" s="730">
        <v>10</v>
      </c>
      <c r="AZ436" s="728">
        <v>3.7999999999999999E-2</v>
      </c>
      <c r="BA436" s="730">
        <v>9</v>
      </c>
      <c r="BB436" s="733">
        <v>0.214</v>
      </c>
      <c r="BC436" s="730">
        <v>6</v>
      </c>
      <c r="BD436" s="6"/>
    </row>
    <row r="437" spans="7:56" s="704" customFormat="1" ht="15">
      <c r="G437" s="1546"/>
      <c r="W437" s="6"/>
      <c r="X437" s="87"/>
      <c r="Y437" s="87"/>
      <c r="Z437" s="739"/>
      <c r="AA437" s="739"/>
      <c r="AB437" s="743"/>
      <c r="AC437" s="108"/>
      <c r="AD437" s="108"/>
      <c r="AE437" s="770" t="s">
        <v>1271</v>
      </c>
      <c r="AF437" s="771" t="s">
        <v>1450</v>
      </c>
      <c r="AG437" s="108"/>
      <c r="AH437" s="454" t="s">
        <v>457</v>
      </c>
      <c r="AI437" s="455">
        <v>206.03</v>
      </c>
      <c r="AJ437" s="735">
        <v>0.12262431658422286</v>
      </c>
      <c r="AK437" s="730">
        <v>9</v>
      </c>
      <c r="AL437" s="736">
        <v>59626</v>
      </c>
      <c r="AM437" s="729">
        <v>8</v>
      </c>
      <c r="AN437" s="737">
        <v>0.38299999999999995</v>
      </c>
      <c r="AO437" s="729">
        <v>8</v>
      </c>
      <c r="AP437" s="728">
        <v>8.5000000000000006E-2</v>
      </c>
      <c r="AQ437" s="738">
        <v>12</v>
      </c>
      <c r="AR437" s="728">
        <v>0.72900000000000009</v>
      </c>
      <c r="AS437" s="729">
        <v>8</v>
      </c>
      <c r="AT437" s="728">
        <v>1.2E-2</v>
      </c>
      <c r="AU437" s="730">
        <v>9</v>
      </c>
      <c r="AV437" s="731">
        <v>0.11699999999999999</v>
      </c>
      <c r="AW437" s="730">
        <v>9</v>
      </c>
      <c r="AX437" s="728">
        <v>0.127</v>
      </c>
      <c r="AY437" s="730">
        <v>8</v>
      </c>
      <c r="AZ437" s="728">
        <v>4.2000000000000003E-2</v>
      </c>
      <c r="BA437" s="730">
        <v>9</v>
      </c>
      <c r="BB437" s="733">
        <v>0.129</v>
      </c>
      <c r="BC437" s="730">
        <v>4</v>
      </c>
      <c r="BD437" s="6"/>
    </row>
    <row r="438" spans="7:56" s="704" customFormat="1" ht="15">
      <c r="G438" s="1546"/>
      <c r="W438" s="6"/>
      <c r="X438" s="87"/>
      <c r="Y438" s="87"/>
      <c r="Z438" s="739"/>
      <c r="AA438" s="739"/>
      <c r="AB438" s="743"/>
      <c r="AC438" s="108"/>
      <c r="AD438" s="108"/>
      <c r="AE438" s="770" t="s">
        <v>1272</v>
      </c>
      <c r="AF438" s="771" t="s">
        <v>652</v>
      </c>
      <c r="AG438" s="108"/>
      <c r="AH438" s="454" t="s">
        <v>457</v>
      </c>
      <c r="AI438" s="455">
        <v>206.04</v>
      </c>
      <c r="AJ438" s="735">
        <v>0.12262431658422286</v>
      </c>
      <c r="AK438" s="730">
        <v>9</v>
      </c>
      <c r="AL438" s="736">
        <v>59626</v>
      </c>
      <c r="AM438" s="729">
        <v>8</v>
      </c>
      <c r="AN438" s="737">
        <v>0.38299999999999995</v>
      </c>
      <c r="AO438" s="729">
        <v>8</v>
      </c>
      <c r="AP438" s="728">
        <v>8.5000000000000006E-2</v>
      </c>
      <c r="AQ438" s="738">
        <v>12</v>
      </c>
      <c r="AR438" s="728">
        <v>0.75700000000000001</v>
      </c>
      <c r="AS438" s="729">
        <v>8</v>
      </c>
      <c r="AT438" s="728">
        <v>0</v>
      </c>
      <c r="AU438" s="730">
        <v>10</v>
      </c>
      <c r="AV438" s="731">
        <v>8.8000000000000009E-2</v>
      </c>
      <c r="AW438" s="730">
        <v>9</v>
      </c>
      <c r="AX438" s="728">
        <v>8.1000000000000003E-2</v>
      </c>
      <c r="AY438" s="730">
        <v>9</v>
      </c>
      <c r="AZ438" s="728">
        <v>7.400000000000001E-2</v>
      </c>
      <c r="BA438" s="730">
        <v>8</v>
      </c>
      <c r="BB438" s="733">
        <v>0.254</v>
      </c>
      <c r="BC438" s="730">
        <v>7</v>
      </c>
      <c r="BD438" s="6"/>
    </row>
    <row r="439" spans="7:56" s="704" customFormat="1" ht="15">
      <c r="G439" s="1546"/>
      <c r="W439" s="6"/>
      <c r="X439" s="87"/>
      <c r="Y439" s="87"/>
      <c r="Z439" s="739"/>
      <c r="AA439" s="739"/>
      <c r="AB439" s="743"/>
      <c r="AC439" s="108"/>
      <c r="AD439" s="108"/>
      <c r="AE439" s="770" t="s">
        <v>1273</v>
      </c>
      <c r="AF439" s="771" t="s">
        <v>653</v>
      </c>
      <c r="AG439" s="108"/>
      <c r="AH439" s="454" t="s">
        <v>457</v>
      </c>
      <c r="AI439" s="455">
        <v>206.05</v>
      </c>
      <c r="AJ439" s="735">
        <v>0.12262431658422286</v>
      </c>
      <c r="AK439" s="730">
        <v>9</v>
      </c>
      <c r="AL439" s="736">
        <v>59626</v>
      </c>
      <c r="AM439" s="729">
        <v>8</v>
      </c>
      <c r="AN439" s="737">
        <v>0.38299999999999995</v>
      </c>
      <c r="AO439" s="729">
        <v>8</v>
      </c>
      <c r="AP439" s="728">
        <v>8.5000000000000006E-2</v>
      </c>
      <c r="AQ439" s="738">
        <v>12</v>
      </c>
      <c r="AR439" s="728">
        <v>0.83700000000000008</v>
      </c>
      <c r="AS439" s="729">
        <v>9</v>
      </c>
      <c r="AT439" s="728">
        <v>0</v>
      </c>
      <c r="AU439" s="730">
        <v>10</v>
      </c>
      <c r="AV439" s="731">
        <v>0.06</v>
      </c>
      <c r="AW439" s="730">
        <v>10</v>
      </c>
      <c r="AX439" s="728">
        <v>5.5999999999999994E-2</v>
      </c>
      <c r="AY439" s="730">
        <v>10</v>
      </c>
      <c r="AZ439" s="728">
        <v>2.1000000000000001E-2</v>
      </c>
      <c r="BA439" s="730">
        <v>10</v>
      </c>
      <c r="BB439" s="733">
        <v>0.22500000000000001</v>
      </c>
      <c r="BC439" s="730">
        <v>6</v>
      </c>
      <c r="BD439" s="6"/>
    </row>
    <row r="440" spans="7:56" s="704" customFormat="1" ht="15">
      <c r="G440" s="1546"/>
      <c r="W440" s="6"/>
      <c r="X440" s="87"/>
      <c r="Y440" s="87"/>
      <c r="Z440" s="739"/>
      <c r="AA440" s="739"/>
      <c r="AB440" s="743"/>
      <c r="AC440" s="108"/>
      <c r="AD440" s="108"/>
      <c r="AE440" s="770" t="s">
        <v>1274</v>
      </c>
      <c r="AF440" s="771" t="s">
        <v>1450</v>
      </c>
      <c r="AG440" s="108"/>
      <c r="AH440" s="454" t="s">
        <v>457</v>
      </c>
      <c r="AI440" s="455">
        <v>207</v>
      </c>
      <c r="AJ440" s="735">
        <v>0.12262431658422286</v>
      </c>
      <c r="AK440" s="730">
        <v>9</v>
      </c>
      <c r="AL440" s="736">
        <v>59626</v>
      </c>
      <c r="AM440" s="729">
        <v>8</v>
      </c>
      <c r="AN440" s="737">
        <v>0.38299999999999995</v>
      </c>
      <c r="AO440" s="729">
        <v>8</v>
      </c>
      <c r="AP440" s="728">
        <v>8.5000000000000006E-2</v>
      </c>
      <c r="AQ440" s="738">
        <v>12</v>
      </c>
      <c r="AR440" s="728">
        <v>0.877</v>
      </c>
      <c r="AS440" s="729">
        <v>10</v>
      </c>
      <c r="AT440" s="728">
        <v>0</v>
      </c>
      <c r="AU440" s="730">
        <v>10</v>
      </c>
      <c r="AV440" s="731">
        <v>5.7000000000000002E-2</v>
      </c>
      <c r="AW440" s="730">
        <v>10</v>
      </c>
      <c r="AX440" s="728">
        <v>6.6000000000000003E-2</v>
      </c>
      <c r="AY440" s="730">
        <v>9</v>
      </c>
      <c r="AZ440" s="728">
        <v>3.4000000000000002E-2</v>
      </c>
      <c r="BA440" s="730">
        <v>9</v>
      </c>
      <c r="BB440" s="733">
        <v>0.106</v>
      </c>
      <c r="BC440" s="730">
        <v>3</v>
      </c>
      <c r="BD440" s="6"/>
    </row>
    <row r="441" spans="7:56" s="704" customFormat="1" ht="15">
      <c r="G441" s="1546"/>
      <c r="W441" s="6"/>
      <c r="X441" s="87"/>
      <c r="Y441" s="87"/>
      <c r="Z441" s="739"/>
      <c r="AA441" s="739"/>
      <c r="AB441" s="743"/>
      <c r="AC441" s="108"/>
      <c r="AD441" s="108"/>
      <c r="AE441" s="770" t="s">
        <v>1774</v>
      </c>
      <c r="AF441" s="771" t="s">
        <v>652</v>
      </c>
      <c r="AG441" s="108"/>
      <c r="AH441" s="454" t="s">
        <v>458</v>
      </c>
      <c r="AI441" s="455">
        <v>2</v>
      </c>
      <c r="AJ441" s="735">
        <v>9.1729509210038321E-2</v>
      </c>
      <c r="AK441" s="730">
        <v>15</v>
      </c>
      <c r="AL441" s="736">
        <v>42296</v>
      </c>
      <c r="AM441" s="729">
        <v>14</v>
      </c>
      <c r="AN441" s="737">
        <v>0.44400000000000001</v>
      </c>
      <c r="AO441" s="729">
        <v>10</v>
      </c>
      <c r="AP441" s="728">
        <v>8.6999999999999994E-2</v>
      </c>
      <c r="AQ441" s="738">
        <v>12</v>
      </c>
      <c r="AR441" s="728">
        <v>0.47200000000000003</v>
      </c>
      <c r="AS441" s="729">
        <v>5</v>
      </c>
      <c r="AT441" s="728">
        <v>9.0000000000000011E-3</v>
      </c>
      <c r="AU441" s="730">
        <v>10</v>
      </c>
      <c r="AV441" s="734">
        <v>0.317</v>
      </c>
      <c r="AW441" s="730">
        <v>6</v>
      </c>
      <c r="AX441" s="728">
        <v>0.32100000000000001</v>
      </c>
      <c r="AY441" s="730">
        <v>5</v>
      </c>
      <c r="AZ441" s="728">
        <v>0.14099999999999999</v>
      </c>
      <c r="BA441" s="730">
        <v>6</v>
      </c>
      <c r="BB441" s="733">
        <v>0.13800000000000001</v>
      </c>
      <c r="BC441" s="730">
        <v>4</v>
      </c>
      <c r="BD441" s="6"/>
    </row>
    <row r="442" spans="7:56" s="704" customFormat="1" ht="15">
      <c r="G442" s="1546"/>
      <c r="W442" s="6"/>
      <c r="X442" s="87"/>
      <c r="Y442" s="87"/>
      <c r="Z442" s="739"/>
      <c r="AA442" s="739"/>
      <c r="AB442" s="743"/>
      <c r="AC442" s="108"/>
      <c r="AD442" s="108"/>
      <c r="AE442" s="770" t="s">
        <v>1775</v>
      </c>
      <c r="AF442" s="771" t="s">
        <v>653</v>
      </c>
      <c r="AG442" s="108"/>
      <c r="AH442" s="454" t="s">
        <v>458</v>
      </c>
      <c r="AI442" s="455">
        <v>3</v>
      </c>
      <c r="AJ442" s="735">
        <v>9.1729509210038321E-2</v>
      </c>
      <c r="AK442" s="730">
        <v>15</v>
      </c>
      <c r="AL442" s="736">
        <v>42296</v>
      </c>
      <c r="AM442" s="729">
        <v>14</v>
      </c>
      <c r="AN442" s="737">
        <v>0.44400000000000001</v>
      </c>
      <c r="AO442" s="729">
        <v>10</v>
      </c>
      <c r="AP442" s="728">
        <v>8.6999999999999994E-2</v>
      </c>
      <c r="AQ442" s="738">
        <v>12</v>
      </c>
      <c r="AR442" s="728">
        <v>0.65300000000000002</v>
      </c>
      <c r="AS442" s="729">
        <v>7</v>
      </c>
      <c r="AT442" s="728">
        <v>2.8999999999999998E-2</v>
      </c>
      <c r="AU442" s="730">
        <v>8</v>
      </c>
      <c r="AV442" s="734">
        <v>0.159</v>
      </c>
      <c r="AW442" s="730">
        <v>8</v>
      </c>
      <c r="AX442" s="728">
        <v>0.23100000000000001</v>
      </c>
      <c r="AY442" s="730">
        <v>7</v>
      </c>
      <c r="AZ442" s="728">
        <v>0.11199999999999999</v>
      </c>
      <c r="BA442" s="730">
        <v>7</v>
      </c>
      <c r="BB442" s="733">
        <v>9.8000000000000004E-2</v>
      </c>
      <c r="BC442" s="730">
        <v>3</v>
      </c>
      <c r="BD442" s="6"/>
    </row>
    <row r="443" spans="7:56" s="704" customFormat="1" ht="15">
      <c r="G443" s="1546"/>
      <c r="W443" s="6"/>
      <c r="X443" s="87"/>
      <c r="Y443" s="87"/>
      <c r="Z443" s="739"/>
      <c r="AA443" s="739"/>
      <c r="AB443" s="743"/>
      <c r="AC443" s="108"/>
      <c r="AD443" s="108"/>
      <c r="AE443" s="770" t="s">
        <v>1275</v>
      </c>
      <c r="AF443" s="771" t="s">
        <v>653</v>
      </c>
      <c r="AG443" s="108"/>
      <c r="AH443" s="454" t="s">
        <v>458</v>
      </c>
      <c r="AI443" s="455">
        <v>4</v>
      </c>
      <c r="AJ443" s="735">
        <v>9.1729509210038321E-2</v>
      </c>
      <c r="AK443" s="730">
        <v>15</v>
      </c>
      <c r="AL443" s="736">
        <v>42296</v>
      </c>
      <c r="AM443" s="729">
        <v>14</v>
      </c>
      <c r="AN443" s="737">
        <v>0.44400000000000001</v>
      </c>
      <c r="AO443" s="729">
        <v>10</v>
      </c>
      <c r="AP443" s="728">
        <v>8.6999999999999994E-2</v>
      </c>
      <c r="AQ443" s="738">
        <v>12</v>
      </c>
      <c r="AR443" s="728">
        <v>0.67799999999999994</v>
      </c>
      <c r="AS443" s="729">
        <v>8</v>
      </c>
      <c r="AT443" s="728">
        <v>5.0000000000000001E-3</v>
      </c>
      <c r="AU443" s="730">
        <v>10</v>
      </c>
      <c r="AV443" s="734">
        <v>0.20600000000000002</v>
      </c>
      <c r="AW443" s="730">
        <v>8</v>
      </c>
      <c r="AX443" s="728">
        <v>0.254</v>
      </c>
      <c r="AY443" s="730">
        <v>6</v>
      </c>
      <c r="AZ443" s="728">
        <v>7.2000000000000008E-2</v>
      </c>
      <c r="BA443" s="730">
        <v>8</v>
      </c>
      <c r="BB443" s="733">
        <v>0.10800000000000001</v>
      </c>
      <c r="BC443" s="730">
        <v>3</v>
      </c>
      <c r="BD443" s="6"/>
    </row>
    <row r="444" spans="7:56" s="704" customFormat="1" ht="15">
      <c r="G444" s="1546"/>
      <c r="W444" s="6"/>
      <c r="X444" s="87"/>
      <c r="Y444" s="87"/>
      <c r="Z444" s="739"/>
      <c r="AA444" s="739"/>
      <c r="AB444" s="743"/>
      <c r="AC444" s="108"/>
      <c r="AD444" s="108"/>
      <c r="AE444" s="770" t="s">
        <v>2582</v>
      </c>
      <c r="AF444" s="771" t="s">
        <v>1450</v>
      </c>
      <c r="AG444" s="108"/>
      <c r="AH444" s="454" t="s">
        <v>458</v>
      </c>
      <c r="AI444" s="455">
        <v>5</v>
      </c>
      <c r="AJ444" s="735">
        <v>9.1729509210038321E-2</v>
      </c>
      <c r="AK444" s="730">
        <v>15</v>
      </c>
      <c r="AL444" s="736">
        <v>42296</v>
      </c>
      <c r="AM444" s="729">
        <v>14</v>
      </c>
      <c r="AN444" s="737">
        <v>0.44400000000000001</v>
      </c>
      <c r="AO444" s="729">
        <v>10</v>
      </c>
      <c r="AP444" s="728">
        <v>8.6999999999999994E-2</v>
      </c>
      <c r="AQ444" s="738">
        <v>12</v>
      </c>
      <c r="AR444" s="728">
        <v>0.67799999999999994</v>
      </c>
      <c r="AS444" s="729">
        <v>8</v>
      </c>
      <c r="AT444" s="728">
        <v>0</v>
      </c>
      <c r="AU444" s="730">
        <v>10</v>
      </c>
      <c r="AV444" s="734">
        <v>7.0999999999999994E-2</v>
      </c>
      <c r="AW444" s="730">
        <v>10</v>
      </c>
      <c r="AX444" s="728">
        <v>0.17899999999999999</v>
      </c>
      <c r="AY444" s="730">
        <v>8</v>
      </c>
      <c r="AZ444" s="728">
        <v>0</v>
      </c>
      <c r="BA444" s="730">
        <v>10</v>
      </c>
      <c r="BB444" s="733">
        <v>0.193</v>
      </c>
      <c r="BC444" s="730">
        <v>6</v>
      </c>
      <c r="BD444" s="6"/>
    </row>
    <row r="445" spans="7:56" s="704" customFormat="1" ht="15">
      <c r="G445" s="1546"/>
      <c r="W445" s="6"/>
      <c r="X445" s="87"/>
      <c r="Y445" s="87"/>
      <c r="Z445" s="739"/>
      <c r="AA445" s="739"/>
      <c r="AB445" s="743"/>
      <c r="AC445" s="108"/>
      <c r="AD445" s="108"/>
      <c r="AE445" s="770" t="s">
        <v>1276</v>
      </c>
      <c r="AF445" s="771" t="s">
        <v>653</v>
      </c>
      <c r="AG445" s="108"/>
      <c r="AH445" s="454" t="s">
        <v>458</v>
      </c>
      <c r="AI445" s="455">
        <v>6</v>
      </c>
      <c r="AJ445" s="735">
        <v>9.1729509210038321E-2</v>
      </c>
      <c r="AK445" s="730">
        <v>15</v>
      </c>
      <c r="AL445" s="736">
        <v>42296</v>
      </c>
      <c r="AM445" s="729">
        <v>14</v>
      </c>
      <c r="AN445" s="737">
        <v>0.44400000000000001</v>
      </c>
      <c r="AO445" s="729">
        <v>10</v>
      </c>
      <c r="AP445" s="728">
        <v>8.6999999999999994E-2</v>
      </c>
      <c r="AQ445" s="738">
        <v>12</v>
      </c>
      <c r="AR445" s="728">
        <v>0.64500000000000002</v>
      </c>
      <c r="AS445" s="729">
        <v>7</v>
      </c>
      <c r="AT445" s="728">
        <v>2.1000000000000001E-2</v>
      </c>
      <c r="AU445" s="730">
        <v>9</v>
      </c>
      <c r="AV445" s="734">
        <v>0.20800000000000002</v>
      </c>
      <c r="AW445" s="730">
        <v>8</v>
      </c>
      <c r="AX445" s="728">
        <v>0.24199999999999999</v>
      </c>
      <c r="AY445" s="730">
        <v>7</v>
      </c>
      <c r="AZ445" s="728">
        <v>5.5999999999999994E-2</v>
      </c>
      <c r="BA445" s="730">
        <v>9</v>
      </c>
      <c r="BB445" s="733">
        <v>0.14699999999999999</v>
      </c>
      <c r="BC445" s="730">
        <v>4</v>
      </c>
      <c r="BD445" s="6"/>
    </row>
    <row r="446" spans="7:56" s="704" customFormat="1" ht="15">
      <c r="G446" s="1546"/>
      <c r="W446" s="6"/>
      <c r="X446" s="87"/>
      <c r="Y446" s="87"/>
      <c r="Z446" s="739"/>
      <c r="AA446" s="739"/>
      <c r="AB446" s="743"/>
      <c r="AC446" s="108"/>
      <c r="AD446" s="108"/>
      <c r="AE446" s="770" t="s">
        <v>1277</v>
      </c>
      <c r="AF446" s="771" t="s">
        <v>1450</v>
      </c>
      <c r="AG446" s="108"/>
      <c r="AH446" s="454" t="s">
        <v>458</v>
      </c>
      <c r="AI446" s="455">
        <v>7</v>
      </c>
      <c r="AJ446" s="735">
        <v>9.1729509210038321E-2</v>
      </c>
      <c r="AK446" s="730">
        <v>15</v>
      </c>
      <c r="AL446" s="736">
        <v>42296</v>
      </c>
      <c r="AM446" s="729">
        <v>14</v>
      </c>
      <c r="AN446" s="737">
        <v>0.44400000000000001</v>
      </c>
      <c r="AO446" s="729">
        <v>10</v>
      </c>
      <c r="AP446" s="728">
        <v>8.6999999999999994E-2</v>
      </c>
      <c r="AQ446" s="738">
        <v>12</v>
      </c>
      <c r="AR446" s="728">
        <v>0.74</v>
      </c>
      <c r="AS446" s="729">
        <v>8</v>
      </c>
      <c r="AT446" s="728">
        <v>2.1000000000000001E-2</v>
      </c>
      <c r="AU446" s="730">
        <v>9</v>
      </c>
      <c r="AV446" s="734">
        <v>0.29100000000000004</v>
      </c>
      <c r="AW446" s="730">
        <v>7</v>
      </c>
      <c r="AX446" s="728">
        <v>0.22</v>
      </c>
      <c r="AY446" s="730">
        <v>7</v>
      </c>
      <c r="AZ446" s="728">
        <v>0.105</v>
      </c>
      <c r="BA446" s="730">
        <v>7</v>
      </c>
      <c r="BB446" s="733">
        <v>0.10099999999999999</v>
      </c>
      <c r="BC446" s="730">
        <v>3</v>
      </c>
      <c r="BD446" s="6"/>
    </row>
    <row r="447" spans="7:56" s="704" customFormat="1" ht="15">
      <c r="G447" s="1546"/>
      <c r="W447" s="6"/>
      <c r="X447" s="87"/>
      <c r="Y447" s="87"/>
      <c r="Z447" s="739"/>
      <c r="AA447" s="739"/>
      <c r="AB447" s="743"/>
      <c r="AC447" s="108"/>
      <c r="AD447" s="108"/>
      <c r="AE447" s="770" t="s">
        <v>1278</v>
      </c>
      <c r="AF447" s="771" t="s">
        <v>653</v>
      </c>
      <c r="AG447" s="108"/>
      <c r="AH447" s="454" t="s">
        <v>458</v>
      </c>
      <c r="AI447" s="455">
        <v>8.02</v>
      </c>
      <c r="AJ447" s="735">
        <v>9.1729509210038321E-2</v>
      </c>
      <c r="AK447" s="730">
        <v>15</v>
      </c>
      <c r="AL447" s="736">
        <v>42296</v>
      </c>
      <c r="AM447" s="729">
        <v>14</v>
      </c>
      <c r="AN447" s="737">
        <v>0.44400000000000001</v>
      </c>
      <c r="AO447" s="729">
        <v>10</v>
      </c>
      <c r="AP447" s="728">
        <v>8.6999999999999994E-2</v>
      </c>
      <c r="AQ447" s="738">
        <v>12</v>
      </c>
      <c r="AR447" s="728">
        <v>0.86699999999999999</v>
      </c>
      <c r="AS447" s="729">
        <v>10</v>
      </c>
      <c r="AT447" s="728">
        <v>0</v>
      </c>
      <c r="AU447" s="730">
        <v>10</v>
      </c>
      <c r="AV447" s="734">
        <v>5.9000000000000004E-2</v>
      </c>
      <c r="AW447" s="730">
        <v>10</v>
      </c>
      <c r="AX447" s="728">
        <v>0.17</v>
      </c>
      <c r="AY447" s="730">
        <v>8</v>
      </c>
      <c r="AZ447" s="728">
        <v>8.8000000000000009E-2</v>
      </c>
      <c r="BA447" s="730">
        <v>8</v>
      </c>
      <c r="BB447" s="733">
        <v>0.161</v>
      </c>
      <c r="BC447" s="730">
        <v>5</v>
      </c>
      <c r="BD447" s="6"/>
    </row>
    <row r="448" spans="7:56" s="704" customFormat="1" ht="15">
      <c r="G448" s="1546"/>
      <c r="W448" s="6"/>
      <c r="X448" s="87"/>
      <c r="Y448" s="87"/>
      <c r="Z448" s="739"/>
      <c r="AA448" s="739"/>
      <c r="AB448" s="743"/>
      <c r="AC448" s="108"/>
      <c r="AD448" s="108"/>
      <c r="AE448" s="770" t="s">
        <v>2583</v>
      </c>
      <c r="AF448" s="771" t="s">
        <v>653</v>
      </c>
      <c r="AG448" s="108"/>
      <c r="AH448" s="454" t="s">
        <v>458</v>
      </c>
      <c r="AI448" s="455">
        <v>8.0299999999999994</v>
      </c>
      <c r="AJ448" s="735">
        <v>9.1729509210038321E-2</v>
      </c>
      <c r="AK448" s="730">
        <v>15</v>
      </c>
      <c r="AL448" s="736">
        <v>42296</v>
      </c>
      <c r="AM448" s="729">
        <v>14</v>
      </c>
      <c r="AN448" s="737">
        <v>0.44400000000000001</v>
      </c>
      <c r="AO448" s="729">
        <v>10</v>
      </c>
      <c r="AP448" s="728">
        <v>8.6999999999999994E-2</v>
      </c>
      <c r="AQ448" s="738">
        <v>12</v>
      </c>
      <c r="AR448" s="728">
        <v>0.88300000000000001</v>
      </c>
      <c r="AS448" s="729">
        <v>10</v>
      </c>
      <c r="AT448" s="728">
        <v>0</v>
      </c>
      <c r="AU448" s="730">
        <v>10</v>
      </c>
      <c r="AV448" s="734">
        <v>0.114</v>
      </c>
      <c r="AW448" s="730">
        <v>9</v>
      </c>
      <c r="AX448" s="728">
        <v>0.10099999999999999</v>
      </c>
      <c r="AY448" s="730">
        <v>9</v>
      </c>
      <c r="AZ448" s="728">
        <v>5.7000000000000002E-2</v>
      </c>
      <c r="BA448" s="730">
        <v>9</v>
      </c>
      <c r="BB448" s="733">
        <v>0.215</v>
      </c>
      <c r="BC448" s="730">
        <v>6</v>
      </c>
      <c r="BD448" s="6"/>
    </row>
    <row r="449" spans="7:56" s="704" customFormat="1" ht="15">
      <c r="G449" s="1546"/>
      <c r="W449" s="6"/>
      <c r="X449" s="87"/>
      <c r="Y449" s="87"/>
      <c r="Z449" s="739"/>
      <c r="AA449" s="739"/>
      <c r="AB449" s="743"/>
      <c r="AC449" s="108"/>
      <c r="AD449" s="108"/>
      <c r="AE449" s="770" t="s">
        <v>1279</v>
      </c>
      <c r="AF449" s="771" t="s">
        <v>1450</v>
      </c>
      <c r="AG449" s="108"/>
      <c r="AH449" s="454" t="s">
        <v>458</v>
      </c>
      <c r="AI449" s="455">
        <v>8.0399999999999991</v>
      </c>
      <c r="AJ449" s="735">
        <v>9.1729509210038321E-2</v>
      </c>
      <c r="AK449" s="730">
        <v>15</v>
      </c>
      <c r="AL449" s="736">
        <v>42296</v>
      </c>
      <c r="AM449" s="729">
        <v>14</v>
      </c>
      <c r="AN449" s="737">
        <v>0.44400000000000001</v>
      </c>
      <c r="AO449" s="729">
        <v>10</v>
      </c>
      <c r="AP449" s="728">
        <v>8.6999999999999994E-2</v>
      </c>
      <c r="AQ449" s="738">
        <v>12</v>
      </c>
      <c r="AR449" s="728">
        <v>0.71799999999999997</v>
      </c>
      <c r="AS449" s="729">
        <v>8</v>
      </c>
      <c r="AT449" s="728">
        <v>5.0000000000000001E-3</v>
      </c>
      <c r="AU449" s="730">
        <v>10</v>
      </c>
      <c r="AV449" s="734">
        <v>8.8000000000000009E-2</v>
      </c>
      <c r="AW449" s="730">
        <v>9</v>
      </c>
      <c r="AX449" s="728">
        <v>0.19500000000000001</v>
      </c>
      <c r="AY449" s="730">
        <v>7</v>
      </c>
      <c r="AZ449" s="728">
        <v>4.4999999999999998E-2</v>
      </c>
      <c r="BA449" s="730">
        <v>9</v>
      </c>
      <c r="BB449" s="733">
        <v>8.900000000000001E-2</v>
      </c>
      <c r="BC449" s="730">
        <v>3</v>
      </c>
      <c r="BD449" s="6"/>
    </row>
    <row r="450" spans="7:56" s="704" customFormat="1" ht="15">
      <c r="G450" s="1546"/>
      <c r="W450" s="6"/>
      <c r="X450" s="87"/>
      <c r="Y450" s="87"/>
      <c r="Z450" s="739"/>
      <c r="AA450" s="739"/>
      <c r="AB450" s="743"/>
      <c r="AC450" s="108"/>
      <c r="AD450" s="108"/>
      <c r="AE450" s="770" t="s">
        <v>1280</v>
      </c>
      <c r="AF450" s="771" t="s">
        <v>1450</v>
      </c>
      <c r="AG450" s="108"/>
      <c r="AH450" s="454" t="s">
        <v>458</v>
      </c>
      <c r="AI450" s="455">
        <v>9</v>
      </c>
      <c r="AJ450" s="735">
        <v>9.1729509210038321E-2</v>
      </c>
      <c r="AK450" s="730">
        <v>15</v>
      </c>
      <c r="AL450" s="736">
        <v>42296</v>
      </c>
      <c r="AM450" s="729">
        <v>14</v>
      </c>
      <c r="AN450" s="737">
        <v>0.44400000000000001</v>
      </c>
      <c r="AO450" s="729">
        <v>10</v>
      </c>
      <c r="AP450" s="728">
        <v>8.6999999999999994E-2</v>
      </c>
      <c r="AQ450" s="738">
        <v>12</v>
      </c>
      <c r="AR450" s="728">
        <v>0.81299999999999994</v>
      </c>
      <c r="AS450" s="729">
        <v>9</v>
      </c>
      <c r="AT450" s="728">
        <v>0</v>
      </c>
      <c r="AU450" s="730">
        <v>10</v>
      </c>
      <c r="AV450" s="734">
        <v>0.23600000000000002</v>
      </c>
      <c r="AW450" s="730">
        <v>7</v>
      </c>
      <c r="AX450" s="728">
        <v>0.151</v>
      </c>
      <c r="AY450" s="730">
        <v>8</v>
      </c>
      <c r="AZ450" s="728">
        <v>7.8E-2</v>
      </c>
      <c r="BA450" s="730">
        <v>8</v>
      </c>
      <c r="BB450" s="733">
        <v>0.10300000000000001</v>
      </c>
      <c r="BC450" s="730">
        <v>3</v>
      </c>
      <c r="BD450" s="6"/>
    </row>
    <row r="451" spans="7:56" s="704" customFormat="1" ht="15">
      <c r="G451" s="1546"/>
      <c r="W451" s="6"/>
      <c r="X451" s="87"/>
      <c r="Y451" s="87"/>
      <c r="Z451" s="739"/>
      <c r="AA451" s="739"/>
      <c r="AB451" s="743"/>
      <c r="AC451" s="108"/>
      <c r="AD451" s="108"/>
      <c r="AE451" s="770" t="s">
        <v>2584</v>
      </c>
      <c r="AF451" s="771" t="s">
        <v>1450</v>
      </c>
      <c r="AG451" s="108"/>
      <c r="AH451" s="454" t="s">
        <v>458</v>
      </c>
      <c r="AI451" s="455">
        <v>10.01</v>
      </c>
      <c r="AJ451" s="735">
        <v>9.1729509210038321E-2</v>
      </c>
      <c r="AK451" s="730">
        <v>15</v>
      </c>
      <c r="AL451" s="736">
        <v>42296</v>
      </c>
      <c r="AM451" s="729">
        <v>14</v>
      </c>
      <c r="AN451" s="737">
        <v>0.44400000000000001</v>
      </c>
      <c r="AO451" s="729">
        <v>10</v>
      </c>
      <c r="AP451" s="728">
        <v>8.6999999999999994E-2</v>
      </c>
      <c r="AQ451" s="738">
        <v>12</v>
      </c>
      <c r="AR451" s="728">
        <v>0.89</v>
      </c>
      <c r="AS451" s="729">
        <v>10</v>
      </c>
      <c r="AT451" s="728">
        <v>1.7000000000000001E-2</v>
      </c>
      <c r="AU451" s="730">
        <v>9</v>
      </c>
      <c r="AV451" s="734">
        <v>8.6999999999999994E-2</v>
      </c>
      <c r="AW451" s="730">
        <v>9</v>
      </c>
      <c r="AX451" s="728">
        <v>0.17600000000000002</v>
      </c>
      <c r="AY451" s="730">
        <v>8</v>
      </c>
      <c r="AZ451" s="728">
        <v>6.2E-2</v>
      </c>
      <c r="BA451" s="730">
        <v>8</v>
      </c>
      <c r="BB451" s="733">
        <v>7.400000000000001E-2</v>
      </c>
      <c r="BC451" s="730">
        <v>2</v>
      </c>
      <c r="BD451" s="6"/>
    </row>
    <row r="452" spans="7:56" s="704" customFormat="1" ht="15">
      <c r="G452" s="1546"/>
      <c r="W452" s="6"/>
      <c r="X452" s="87"/>
      <c r="Y452" s="87"/>
      <c r="Z452" s="739"/>
      <c r="AA452" s="739"/>
      <c r="AB452" s="743"/>
      <c r="AC452" s="108"/>
      <c r="AD452" s="108"/>
      <c r="AE452" s="770" t="s">
        <v>1281</v>
      </c>
      <c r="AF452" s="771" t="s">
        <v>1450</v>
      </c>
      <c r="AG452" s="108"/>
      <c r="AH452" s="454" t="s">
        <v>458</v>
      </c>
      <c r="AI452" s="455">
        <v>10.02</v>
      </c>
      <c r="AJ452" s="735">
        <v>9.1729509210038321E-2</v>
      </c>
      <c r="AK452" s="730">
        <v>15</v>
      </c>
      <c r="AL452" s="736">
        <v>42296</v>
      </c>
      <c r="AM452" s="729">
        <v>14</v>
      </c>
      <c r="AN452" s="737">
        <v>0.44400000000000001</v>
      </c>
      <c r="AO452" s="729">
        <v>10</v>
      </c>
      <c r="AP452" s="728">
        <v>8.6999999999999994E-2</v>
      </c>
      <c r="AQ452" s="738">
        <v>12</v>
      </c>
      <c r="AR452" s="728">
        <v>0.67099999999999993</v>
      </c>
      <c r="AS452" s="729">
        <v>8</v>
      </c>
      <c r="AT452" s="728">
        <v>3.9E-2</v>
      </c>
      <c r="AU452" s="730">
        <v>7</v>
      </c>
      <c r="AV452" s="734">
        <v>0.249</v>
      </c>
      <c r="AW452" s="730">
        <v>7</v>
      </c>
      <c r="AX452" s="728">
        <v>0.23800000000000002</v>
      </c>
      <c r="AY452" s="730">
        <v>7</v>
      </c>
      <c r="AZ452" s="728">
        <v>4.4999999999999998E-2</v>
      </c>
      <c r="BA452" s="730">
        <v>9</v>
      </c>
      <c r="BB452" s="733">
        <v>3.6000000000000004E-2</v>
      </c>
      <c r="BC452" s="730">
        <v>1</v>
      </c>
      <c r="BD452" s="6"/>
    </row>
    <row r="453" spans="7:56" s="704" customFormat="1" ht="15">
      <c r="G453" s="1546"/>
      <c r="W453" s="6"/>
      <c r="X453" s="87"/>
      <c r="Y453" s="87"/>
      <c r="Z453" s="739"/>
      <c r="AA453" s="739"/>
      <c r="AB453" s="743"/>
      <c r="AC453" s="108"/>
      <c r="AD453" s="108"/>
      <c r="AE453" s="770" t="s">
        <v>1282</v>
      </c>
      <c r="AF453" s="771" t="s">
        <v>653</v>
      </c>
      <c r="AG453" s="108"/>
      <c r="AH453" s="454" t="s">
        <v>458</v>
      </c>
      <c r="AI453" s="455">
        <v>11</v>
      </c>
      <c r="AJ453" s="735">
        <v>9.1729509210038321E-2</v>
      </c>
      <c r="AK453" s="730">
        <v>15</v>
      </c>
      <c r="AL453" s="736">
        <v>42296</v>
      </c>
      <c r="AM453" s="729">
        <v>14</v>
      </c>
      <c r="AN453" s="737">
        <v>0.44400000000000001</v>
      </c>
      <c r="AO453" s="729">
        <v>10</v>
      </c>
      <c r="AP453" s="728">
        <v>8.6999999999999994E-2</v>
      </c>
      <c r="AQ453" s="738">
        <v>12</v>
      </c>
      <c r="AR453" s="728">
        <v>0.72900000000000009</v>
      </c>
      <c r="AS453" s="729">
        <v>8</v>
      </c>
      <c r="AT453" s="728">
        <v>3.0000000000000001E-3</v>
      </c>
      <c r="AU453" s="730">
        <v>10</v>
      </c>
      <c r="AV453" s="734">
        <v>0.13</v>
      </c>
      <c r="AW453" s="730">
        <v>9</v>
      </c>
      <c r="AX453" s="728">
        <v>0.21</v>
      </c>
      <c r="AY453" s="730">
        <v>7</v>
      </c>
      <c r="AZ453" s="728">
        <v>7.9000000000000001E-2</v>
      </c>
      <c r="BA453" s="730">
        <v>8</v>
      </c>
      <c r="BB453" s="733">
        <v>8.1000000000000003E-2</v>
      </c>
      <c r="BC453" s="730">
        <v>3</v>
      </c>
      <c r="BD453" s="6"/>
    </row>
    <row r="454" spans="7:56" s="704" customFormat="1" ht="15">
      <c r="G454" s="1546"/>
      <c r="W454" s="6"/>
      <c r="X454" s="87"/>
      <c r="Y454" s="87"/>
      <c r="Z454" s="739"/>
      <c r="AA454" s="739"/>
      <c r="AB454" s="743"/>
      <c r="AC454" s="108"/>
      <c r="AD454" s="108"/>
      <c r="AE454" s="770" t="s">
        <v>2585</v>
      </c>
      <c r="AF454" s="771" t="s">
        <v>1450</v>
      </c>
      <c r="AG454" s="108"/>
      <c r="AH454" s="454" t="s">
        <v>458</v>
      </c>
      <c r="AI454" s="455">
        <v>12</v>
      </c>
      <c r="AJ454" s="735">
        <v>9.1729509210038321E-2</v>
      </c>
      <c r="AK454" s="730">
        <v>15</v>
      </c>
      <c r="AL454" s="736">
        <v>42296</v>
      </c>
      <c r="AM454" s="729">
        <v>14</v>
      </c>
      <c r="AN454" s="737">
        <v>0.44400000000000001</v>
      </c>
      <c r="AO454" s="729">
        <v>10</v>
      </c>
      <c r="AP454" s="728">
        <v>8.6999999999999994E-2</v>
      </c>
      <c r="AQ454" s="738">
        <v>12</v>
      </c>
      <c r="AR454" s="728">
        <v>0.8640000000000001</v>
      </c>
      <c r="AS454" s="729">
        <v>10</v>
      </c>
      <c r="AT454" s="728">
        <v>2.6000000000000002E-2</v>
      </c>
      <c r="AU454" s="730">
        <v>8</v>
      </c>
      <c r="AV454" s="734">
        <v>0.26200000000000001</v>
      </c>
      <c r="AW454" s="730">
        <v>7</v>
      </c>
      <c r="AX454" s="728">
        <v>0.26100000000000001</v>
      </c>
      <c r="AY454" s="730">
        <v>6</v>
      </c>
      <c r="AZ454" s="728">
        <v>5.0999999999999997E-2</v>
      </c>
      <c r="BA454" s="730">
        <v>9</v>
      </c>
      <c r="BB454" s="733">
        <v>3.3000000000000002E-2</v>
      </c>
      <c r="BC454" s="730">
        <v>1</v>
      </c>
      <c r="BD454" s="6"/>
    </row>
    <row r="455" spans="7:56" s="704" customFormat="1" ht="15">
      <c r="G455" s="1546"/>
      <c r="W455" s="6"/>
      <c r="X455" s="87"/>
      <c r="Y455" s="87"/>
      <c r="Z455" s="739"/>
      <c r="AA455" s="739"/>
      <c r="AB455" s="743"/>
      <c r="AC455" s="108"/>
      <c r="AD455" s="108"/>
      <c r="AE455" s="770" t="s">
        <v>1283</v>
      </c>
      <c r="AF455" s="771" t="s">
        <v>652</v>
      </c>
      <c r="AG455" s="108"/>
      <c r="AH455" s="454" t="s">
        <v>458</v>
      </c>
      <c r="AI455" s="455">
        <v>13</v>
      </c>
      <c r="AJ455" s="735">
        <v>9.1729509210038321E-2</v>
      </c>
      <c r="AK455" s="730">
        <v>15</v>
      </c>
      <c r="AL455" s="736">
        <v>42296</v>
      </c>
      <c r="AM455" s="729">
        <v>14</v>
      </c>
      <c r="AN455" s="737">
        <v>0.44400000000000001</v>
      </c>
      <c r="AO455" s="729">
        <v>10</v>
      </c>
      <c r="AP455" s="728">
        <v>8.6999999999999994E-2</v>
      </c>
      <c r="AQ455" s="738">
        <v>12</v>
      </c>
      <c r="AR455" s="728">
        <v>0.71900000000000008</v>
      </c>
      <c r="AS455" s="729">
        <v>8</v>
      </c>
      <c r="AT455" s="728">
        <v>0.03</v>
      </c>
      <c r="AU455" s="730">
        <v>8</v>
      </c>
      <c r="AV455" s="734">
        <v>0.252</v>
      </c>
      <c r="AW455" s="730">
        <v>7</v>
      </c>
      <c r="AX455" s="728">
        <v>0.249</v>
      </c>
      <c r="AY455" s="730">
        <v>6</v>
      </c>
      <c r="AZ455" s="728">
        <v>0.17699999999999999</v>
      </c>
      <c r="BA455" s="730">
        <v>5</v>
      </c>
      <c r="BB455" s="733">
        <v>0.115</v>
      </c>
      <c r="BC455" s="730">
        <v>4</v>
      </c>
      <c r="BD455" s="6"/>
    </row>
    <row r="456" spans="7:56" s="704" customFormat="1" ht="15">
      <c r="G456" s="1546"/>
      <c r="W456" s="6"/>
      <c r="X456" s="87"/>
      <c r="Y456" s="87"/>
      <c r="Z456" s="739"/>
      <c r="AA456" s="739"/>
      <c r="AB456" s="743"/>
      <c r="AC456" s="108"/>
      <c r="AD456" s="108"/>
      <c r="AE456" s="770" t="s">
        <v>1284</v>
      </c>
      <c r="AF456" s="771" t="s">
        <v>1450</v>
      </c>
      <c r="AG456" s="108"/>
      <c r="AH456" s="454" t="s">
        <v>458</v>
      </c>
      <c r="AI456" s="455">
        <v>14</v>
      </c>
      <c r="AJ456" s="735">
        <v>9.1729509210038321E-2</v>
      </c>
      <c r="AK456" s="730">
        <v>15</v>
      </c>
      <c r="AL456" s="736">
        <v>42296</v>
      </c>
      <c r="AM456" s="729">
        <v>14</v>
      </c>
      <c r="AN456" s="737">
        <v>0.44400000000000001</v>
      </c>
      <c r="AO456" s="729">
        <v>10</v>
      </c>
      <c r="AP456" s="728">
        <v>8.6999999999999994E-2</v>
      </c>
      <c r="AQ456" s="738">
        <v>12</v>
      </c>
      <c r="AR456" s="728">
        <v>0.65500000000000003</v>
      </c>
      <c r="AS456" s="729">
        <v>7</v>
      </c>
      <c r="AT456" s="728">
        <v>0.01</v>
      </c>
      <c r="AU456" s="730">
        <v>10</v>
      </c>
      <c r="AV456" s="734">
        <v>0.22500000000000001</v>
      </c>
      <c r="AW456" s="730">
        <v>8</v>
      </c>
      <c r="AX456" s="728">
        <v>0.19399999999999998</v>
      </c>
      <c r="AY456" s="730">
        <v>7</v>
      </c>
      <c r="AZ456" s="728">
        <v>0.04</v>
      </c>
      <c r="BA456" s="730">
        <v>9</v>
      </c>
      <c r="BB456" s="733">
        <v>0.09</v>
      </c>
      <c r="BC456" s="730">
        <v>3</v>
      </c>
      <c r="BD456" s="6"/>
    </row>
    <row r="457" spans="7:56" s="704" customFormat="1" ht="15">
      <c r="G457" s="1546"/>
      <c r="W457" s="6"/>
      <c r="X457" s="87"/>
      <c r="Y457" s="87"/>
      <c r="Z457" s="739"/>
      <c r="AA457" s="739"/>
      <c r="AB457" s="743"/>
      <c r="AC457" s="108"/>
      <c r="AD457" s="108"/>
      <c r="AE457" s="770" t="s">
        <v>1285</v>
      </c>
      <c r="AF457" s="771" t="s">
        <v>653</v>
      </c>
      <c r="AG457" s="108"/>
      <c r="AH457" s="454" t="s">
        <v>458</v>
      </c>
      <c r="AI457" s="455">
        <v>15</v>
      </c>
      <c r="AJ457" s="735">
        <v>9.1729509210038321E-2</v>
      </c>
      <c r="AK457" s="730">
        <v>15</v>
      </c>
      <c r="AL457" s="736">
        <v>42296</v>
      </c>
      <c r="AM457" s="729">
        <v>14</v>
      </c>
      <c r="AN457" s="737">
        <v>0.44400000000000001</v>
      </c>
      <c r="AO457" s="729">
        <v>10</v>
      </c>
      <c r="AP457" s="728">
        <v>8.6999999999999994E-2</v>
      </c>
      <c r="AQ457" s="738">
        <v>12</v>
      </c>
      <c r="AR457" s="728">
        <v>0.84299999999999997</v>
      </c>
      <c r="AS457" s="729">
        <v>9</v>
      </c>
      <c r="AT457" s="728">
        <v>6.0000000000000001E-3</v>
      </c>
      <c r="AU457" s="730">
        <v>10</v>
      </c>
      <c r="AV457" s="734">
        <v>0.13200000000000001</v>
      </c>
      <c r="AW457" s="730">
        <v>9</v>
      </c>
      <c r="AX457" s="728">
        <v>0.105</v>
      </c>
      <c r="AY457" s="730">
        <v>9</v>
      </c>
      <c r="AZ457" s="728">
        <v>9.5000000000000001E-2</v>
      </c>
      <c r="BA457" s="730">
        <v>7</v>
      </c>
      <c r="BB457" s="733">
        <v>0.13400000000000001</v>
      </c>
      <c r="BC457" s="730">
        <v>4</v>
      </c>
      <c r="BD457" s="6"/>
    </row>
    <row r="458" spans="7:56" s="704" customFormat="1" ht="15">
      <c r="G458" s="1546"/>
      <c r="W458" s="6"/>
      <c r="X458" s="87"/>
      <c r="Y458" s="87"/>
      <c r="Z458" s="739"/>
      <c r="AA458" s="739"/>
      <c r="AB458" s="743"/>
      <c r="AC458" s="108"/>
      <c r="AD458" s="108"/>
      <c r="AE458" s="770" t="s">
        <v>1286</v>
      </c>
      <c r="AF458" s="771" t="s">
        <v>1450</v>
      </c>
      <c r="AG458" s="108"/>
      <c r="AH458" s="454" t="s">
        <v>459</v>
      </c>
      <c r="AI458" s="455">
        <v>9659</v>
      </c>
      <c r="AJ458" s="735">
        <v>6.195488721804511E-2</v>
      </c>
      <c r="AK458" s="730">
        <v>18</v>
      </c>
      <c r="AL458" s="736">
        <v>41094</v>
      </c>
      <c r="AM458" s="729">
        <v>16</v>
      </c>
      <c r="AN458" s="737">
        <v>0.39700000000000002</v>
      </c>
      <c r="AO458" s="729">
        <v>8</v>
      </c>
      <c r="AP458" s="728">
        <v>7.0999999999999994E-2</v>
      </c>
      <c r="AQ458" s="738">
        <v>14</v>
      </c>
      <c r="AR458" s="728">
        <v>0.92400000000000004</v>
      </c>
      <c r="AS458" s="729">
        <v>10</v>
      </c>
      <c r="AT458" s="728">
        <v>9.0000000000000011E-3</v>
      </c>
      <c r="AU458" s="730">
        <v>10</v>
      </c>
      <c r="AV458" s="731">
        <v>0.16699999999999998</v>
      </c>
      <c r="AW458" s="730">
        <v>8</v>
      </c>
      <c r="AX458" s="728">
        <v>0.107</v>
      </c>
      <c r="AY458" s="730">
        <v>9</v>
      </c>
      <c r="AZ458" s="728">
        <v>0.02</v>
      </c>
      <c r="BA458" s="730">
        <v>10</v>
      </c>
      <c r="BB458" s="733">
        <v>3.7999999999999999E-2</v>
      </c>
      <c r="BC458" s="730">
        <v>2</v>
      </c>
      <c r="BD458" s="6"/>
    </row>
    <row r="459" spans="7:56" s="704" customFormat="1" ht="15">
      <c r="G459" s="1546"/>
      <c r="W459" s="6"/>
      <c r="X459" s="87"/>
      <c r="Y459" s="87"/>
      <c r="Z459" s="739"/>
      <c r="AA459" s="739"/>
      <c r="AB459" s="743"/>
      <c r="AC459" s="108"/>
      <c r="AD459" s="108"/>
      <c r="AE459" s="770" t="s">
        <v>1287</v>
      </c>
      <c r="AF459" s="771" t="s">
        <v>653</v>
      </c>
      <c r="AG459" s="108"/>
      <c r="AH459" s="454" t="s">
        <v>459</v>
      </c>
      <c r="AI459" s="455">
        <v>9660</v>
      </c>
      <c r="AJ459" s="735">
        <v>6.195488721804511E-2</v>
      </c>
      <c r="AK459" s="730">
        <v>18</v>
      </c>
      <c r="AL459" s="736">
        <v>41094</v>
      </c>
      <c r="AM459" s="729">
        <v>16</v>
      </c>
      <c r="AN459" s="737">
        <v>0.39700000000000002</v>
      </c>
      <c r="AO459" s="729">
        <v>8</v>
      </c>
      <c r="AP459" s="728">
        <v>7.0999999999999994E-2</v>
      </c>
      <c r="AQ459" s="738">
        <v>14</v>
      </c>
      <c r="AR459" s="728">
        <v>0.63400000000000001</v>
      </c>
      <c r="AS459" s="729">
        <v>7</v>
      </c>
      <c r="AT459" s="728">
        <v>4.0000000000000001E-3</v>
      </c>
      <c r="AU459" s="730">
        <v>10</v>
      </c>
      <c r="AV459" s="731">
        <v>0.21199999999999999</v>
      </c>
      <c r="AW459" s="730">
        <v>8</v>
      </c>
      <c r="AX459" s="728">
        <v>0.185</v>
      </c>
      <c r="AY459" s="730">
        <v>7</v>
      </c>
      <c r="AZ459" s="728">
        <v>6.7000000000000004E-2</v>
      </c>
      <c r="BA459" s="730">
        <v>8</v>
      </c>
      <c r="BB459" s="733">
        <v>0.13300000000000001</v>
      </c>
      <c r="BC459" s="730">
        <v>4</v>
      </c>
      <c r="BD459" s="6"/>
    </row>
    <row r="460" spans="7:56" s="704" customFormat="1" ht="15">
      <c r="G460" s="1546"/>
      <c r="W460" s="6"/>
      <c r="X460" s="87"/>
      <c r="Y460" s="87"/>
      <c r="Z460" s="739"/>
      <c r="AA460" s="739"/>
      <c r="AB460" s="743"/>
      <c r="AC460" s="108"/>
      <c r="AD460" s="108"/>
      <c r="AE460" s="770" t="s">
        <v>1288</v>
      </c>
      <c r="AF460" s="771" t="s">
        <v>652</v>
      </c>
      <c r="AG460" s="108"/>
      <c r="AH460" s="454" t="s">
        <v>459</v>
      </c>
      <c r="AI460" s="455">
        <v>9661</v>
      </c>
      <c r="AJ460" s="735">
        <v>6.195488721804511E-2</v>
      </c>
      <c r="AK460" s="730">
        <v>18</v>
      </c>
      <c r="AL460" s="736">
        <v>41094</v>
      </c>
      <c r="AM460" s="729">
        <v>16</v>
      </c>
      <c r="AN460" s="737">
        <v>0.39700000000000002</v>
      </c>
      <c r="AO460" s="729">
        <v>8</v>
      </c>
      <c r="AP460" s="728">
        <v>7.0999999999999994E-2</v>
      </c>
      <c r="AQ460" s="738">
        <v>14</v>
      </c>
      <c r="AR460" s="728">
        <v>0.47200000000000003</v>
      </c>
      <c r="AS460" s="729">
        <v>5</v>
      </c>
      <c r="AT460" s="728">
        <v>0.02</v>
      </c>
      <c r="AU460" s="730">
        <v>9</v>
      </c>
      <c r="AV460" s="731">
        <v>0.24100000000000002</v>
      </c>
      <c r="AW460" s="730">
        <v>7</v>
      </c>
      <c r="AX460" s="728">
        <v>0.25</v>
      </c>
      <c r="AY460" s="730">
        <v>6</v>
      </c>
      <c r="AZ460" s="728">
        <v>7.5999999999999998E-2</v>
      </c>
      <c r="BA460" s="730">
        <v>8</v>
      </c>
      <c r="BB460" s="733">
        <v>0.126</v>
      </c>
      <c r="BC460" s="730">
        <v>4</v>
      </c>
      <c r="BD460" s="6"/>
    </row>
    <row r="461" spans="7:56" s="704" customFormat="1" ht="15">
      <c r="G461" s="1546"/>
      <c r="W461" s="6"/>
      <c r="X461" s="87"/>
      <c r="Y461" s="87"/>
      <c r="Z461" s="739"/>
      <c r="AA461" s="739"/>
      <c r="AB461" s="743"/>
      <c r="AC461" s="108"/>
      <c r="AD461" s="108"/>
      <c r="AE461" s="770" t="s">
        <v>1289</v>
      </c>
      <c r="AF461" s="771" t="s">
        <v>1450</v>
      </c>
      <c r="AG461" s="108"/>
      <c r="AH461" s="454" t="s">
        <v>459</v>
      </c>
      <c r="AI461" s="455">
        <v>9662</v>
      </c>
      <c r="AJ461" s="735">
        <v>6.195488721804511E-2</v>
      </c>
      <c r="AK461" s="730">
        <v>18</v>
      </c>
      <c r="AL461" s="736">
        <v>41094</v>
      </c>
      <c r="AM461" s="729">
        <v>16</v>
      </c>
      <c r="AN461" s="737">
        <v>0.39700000000000002</v>
      </c>
      <c r="AO461" s="729">
        <v>8</v>
      </c>
      <c r="AP461" s="728">
        <v>7.0999999999999994E-2</v>
      </c>
      <c r="AQ461" s="738">
        <v>14</v>
      </c>
      <c r="AR461" s="728">
        <v>0.68200000000000005</v>
      </c>
      <c r="AS461" s="729">
        <v>8</v>
      </c>
      <c r="AT461" s="728">
        <v>0.01</v>
      </c>
      <c r="AU461" s="730">
        <v>10</v>
      </c>
      <c r="AV461" s="731">
        <v>0.122</v>
      </c>
      <c r="AW461" s="730">
        <v>9</v>
      </c>
      <c r="AX461" s="728">
        <v>0.128</v>
      </c>
      <c r="AY461" s="730">
        <v>8</v>
      </c>
      <c r="AZ461" s="728">
        <v>2.5000000000000001E-2</v>
      </c>
      <c r="BA461" s="730">
        <v>10</v>
      </c>
      <c r="BB461" s="733">
        <v>0.11</v>
      </c>
      <c r="BC461" s="730">
        <v>3</v>
      </c>
      <c r="BD461" s="6"/>
    </row>
    <row r="462" spans="7:56" s="704" customFormat="1" ht="15">
      <c r="G462" s="1546"/>
      <c r="W462" s="6"/>
      <c r="X462" s="87"/>
      <c r="Y462" s="87"/>
      <c r="Z462" s="739"/>
      <c r="AA462" s="739"/>
      <c r="AB462" s="743"/>
      <c r="AC462" s="108"/>
      <c r="AD462" s="108"/>
      <c r="AE462" s="770" t="s">
        <v>1290</v>
      </c>
      <c r="AF462" s="771" t="s">
        <v>1450</v>
      </c>
      <c r="AG462" s="108"/>
      <c r="AH462" s="454" t="s">
        <v>459</v>
      </c>
      <c r="AI462" s="455">
        <v>9663</v>
      </c>
      <c r="AJ462" s="735">
        <v>6.195488721804511E-2</v>
      </c>
      <c r="AK462" s="730">
        <v>18</v>
      </c>
      <c r="AL462" s="736">
        <v>41094</v>
      </c>
      <c r="AM462" s="729">
        <v>16</v>
      </c>
      <c r="AN462" s="737">
        <v>0.39700000000000002</v>
      </c>
      <c r="AO462" s="729">
        <v>8</v>
      </c>
      <c r="AP462" s="728">
        <v>7.0999999999999994E-2</v>
      </c>
      <c r="AQ462" s="738">
        <v>14</v>
      </c>
      <c r="AR462" s="728">
        <v>0.82799999999999996</v>
      </c>
      <c r="AS462" s="729">
        <v>9</v>
      </c>
      <c r="AT462" s="728">
        <v>0</v>
      </c>
      <c r="AU462" s="730">
        <v>10</v>
      </c>
      <c r="AV462" s="731">
        <v>0.13400000000000001</v>
      </c>
      <c r="AW462" s="730">
        <v>9</v>
      </c>
      <c r="AX462" s="728">
        <v>0.08</v>
      </c>
      <c r="AY462" s="730">
        <v>9</v>
      </c>
      <c r="AZ462" s="728">
        <v>2.8999999999999998E-2</v>
      </c>
      <c r="BA462" s="730">
        <v>9</v>
      </c>
      <c r="BB462" s="733">
        <v>7.0000000000000007E-2</v>
      </c>
      <c r="BC462" s="730">
        <v>2</v>
      </c>
      <c r="BD462" s="6"/>
    </row>
    <row r="463" spans="7:56" s="704" customFormat="1" ht="15">
      <c r="G463" s="1546"/>
      <c r="W463" s="6"/>
      <c r="X463" s="87"/>
      <c r="Y463" s="87"/>
      <c r="Z463" s="739"/>
      <c r="AA463" s="739"/>
      <c r="AB463" s="743"/>
      <c r="AC463" s="108"/>
      <c r="AD463" s="108"/>
      <c r="AE463" s="770" t="s">
        <v>1291</v>
      </c>
      <c r="AF463" s="771" t="s">
        <v>1450</v>
      </c>
      <c r="AG463" s="108"/>
      <c r="AH463" s="454" t="s">
        <v>459</v>
      </c>
      <c r="AI463" s="455">
        <v>9664</v>
      </c>
      <c r="AJ463" s="735">
        <v>6.195488721804511E-2</v>
      </c>
      <c r="AK463" s="730">
        <v>18</v>
      </c>
      <c r="AL463" s="736">
        <v>41094</v>
      </c>
      <c r="AM463" s="729">
        <v>16</v>
      </c>
      <c r="AN463" s="737">
        <v>0.39700000000000002</v>
      </c>
      <c r="AO463" s="729">
        <v>8</v>
      </c>
      <c r="AP463" s="728">
        <v>7.0999999999999994E-2</v>
      </c>
      <c r="AQ463" s="738">
        <v>14</v>
      </c>
      <c r="AR463" s="728">
        <v>0.65400000000000003</v>
      </c>
      <c r="AS463" s="729">
        <v>7</v>
      </c>
      <c r="AT463" s="728">
        <v>2E-3</v>
      </c>
      <c r="AU463" s="730">
        <v>10</v>
      </c>
      <c r="AV463" s="731">
        <v>0.20899999999999999</v>
      </c>
      <c r="AW463" s="730">
        <v>8</v>
      </c>
      <c r="AX463" s="728">
        <v>0.223</v>
      </c>
      <c r="AY463" s="730">
        <v>7</v>
      </c>
      <c r="AZ463" s="728">
        <v>6.7000000000000004E-2</v>
      </c>
      <c r="BA463" s="730">
        <v>8</v>
      </c>
      <c r="BB463" s="733">
        <v>0.114</v>
      </c>
      <c r="BC463" s="730">
        <v>3</v>
      </c>
      <c r="BD463" s="6"/>
    </row>
    <row r="464" spans="7:56" s="704" customFormat="1" ht="15">
      <c r="G464" s="1546"/>
      <c r="W464" s="6"/>
      <c r="X464" s="87"/>
      <c r="Y464" s="87"/>
      <c r="Z464" s="739"/>
      <c r="AA464" s="739"/>
      <c r="AB464" s="743"/>
      <c r="AC464" s="108"/>
      <c r="AD464" s="108"/>
      <c r="AE464" s="770" t="s">
        <v>1292</v>
      </c>
      <c r="AF464" s="771" t="s">
        <v>1450</v>
      </c>
      <c r="AG464" s="108"/>
      <c r="AH464" s="454" t="s">
        <v>459</v>
      </c>
      <c r="AI464" s="455">
        <v>9665</v>
      </c>
      <c r="AJ464" s="735">
        <v>6.195488721804511E-2</v>
      </c>
      <c r="AK464" s="730">
        <v>18</v>
      </c>
      <c r="AL464" s="736">
        <v>41094</v>
      </c>
      <c r="AM464" s="729">
        <v>16</v>
      </c>
      <c r="AN464" s="737">
        <v>0.39700000000000002</v>
      </c>
      <c r="AO464" s="729">
        <v>8</v>
      </c>
      <c r="AP464" s="728">
        <v>7.0999999999999994E-2</v>
      </c>
      <c r="AQ464" s="738">
        <v>14</v>
      </c>
      <c r="AR464" s="728">
        <v>0.82400000000000007</v>
      </c>
      <c r="AS464" s="729">
        <v>9</v>
      </c>
      <c r="AT464" s="728">
        <v>2.6000000000000002E-2</v>
      </c>
      <c r="AU464" s="730">
        <v>8</v>
      </c>
      <c r="AV464" s="731">
        <v>0.23300000000000001</v>
      </c>
      <c r="AW464" s="730">
        <v>7</v>
      </c>
      <c r="AX464" s="728">
        <v>0.156</v>
      </c>
      <c r="AY464" s="730">
        <v>8</v>
      </c>
      <c r="AZ464" s="728">
        <v>0.10300000000000001</v>
      </c>
      <c r="BA464" s="730">
        <v>7</v>
      </c>
      <c r="BB464" s="733">
        <v>5.4000000000000006E-2</v>
      </c>
      <c r="BC464" s="730">
        <v>2</v>
      </c>
      <c r="BD464" s="6"/>
    </row>
    <row r="465" spans="7:56" s="704" customFormat="1" ht="15">
      <c r="G465" s="1546"/>
      <c r="W465" s="6"/>
      <c r="X465" s="87"/>
      <c r="Y465" s="87"/>
      <c r="Z465" s="739"/>
      <c r="AA465" s="739"/>
      <c r="AB465" s="743"/>
      <c r="AC465" s="108"/>
      <c r="AD465" s="108"/>
      <c r="AE465" s="770" t="s">
        <v>1293</v>
      </c>
      <c r="AF465" s="771" t="s">
        <v>1450</v>
      </c>
      <c r="AG465" s="108"/>
      <c r="AH465" s="454" t="s">
        <v>460</v>
      </c>
      <c r="AI465" s="455">
        <v>9623</v>
      </c>
      <c r="AJ465" s="735">
        <v>8.3018867924528297E-2</v>
      </c>
      <c r="AK465" s="730">
        <v>15</v>
      </c>
      <c r="AL465" s="736">
        <v>44472</v>
      </c>
      <c r="AM465" s="729">
        <v>14</v>
      </c>
      <c r="AN465" s="737">
        <v>0.441</v>
      </c>
      <c r="AO465" s="729">
        <v>10</v>
      </c>
      <c r="AP465" s="728">
        <v>3.2000000000000001E-2</v>
      </c>
      <c r="AQ465" s="738">
        <v>18</v>
      </c>
      <c r="AR465" s="728">
        <v>0.81099999999999994</v>
      </c>
      <c r="AS465" s="729">
        <v>9</v>
      </c>
      <c r="AT465" s="728">
        <v>1E-3</v>
      </c>
      <c r="AU465" s="730">
        <v>10</v>
      </c>
      <c r="AV465" s="731">
        <v>0.16200000000000001</v>
      </c>
      <c r="AW465" s="730">
        <v>8</v>
      </c>
      <c r="AX465" s="728">
        <v>0.11199999999999999</v>
      </c>
      <c r="AY465" s="730">
        <v>9</v>
      </c>
      <c r="AZ465" s="728">
        <v>8.199999999999999E-2</v>
      </c>
      <c r="BA465" s="730">
        <v>8</v>
      </c>
      <c r="BB465" s="733">
        <v>5.7000000000000002E-2</v>
      </c>
      <c r="BC465" s="730">
        <v>2</v>
      </c>
      <c r="BD465" s="6"/>
    </row>
    <row r="466" spans="7:56" s="704" customFormat="1" ht="15">
      <c r="G466" s="1546"/>
      <c r="W466" s="6"/>
      <c r="X466" s="87"/>
      <c r="Y466" s="87"/>
      <c r="Z466" s="739"/>
      <c r="AA466" s="739"/>
      <c r="AB466" s="743"/>
      <c r="AC466" s="108"/>
      <c r="AD466" s="108"/>
      <c r="AE466" s="770" t="s">
        <v>1294</v>
      </c>
      <c r="AF466" s="771" t="s">
        <v>653</v>
      </c>
      <c r="AG466" s="108"/>
      <c r="AH466" s="454" t="s">
        <v>460</v>
      </c>
      <c r="AI466" s="455">
        <v>9624</v>
      </c>
      <c r="AJ466" s="735">
        <v>8.3018867924528297E-2</v>
      </c>
      <c r="AK466" s="730">
        <v>15</v>
      </c>
      <c r="AL466" s="736">
        <v>44472</v>
      </c>
      <c r="AM466" s="729">
        <v>14</v>
      </c>
      <c r="AN466" s="737">
        <v>0.441</v>
      </c>
      <c r="AO466" s="729">
        <v>10</v>
      </c>
      <c r="AP466" s="728">
        <v>3.2000000000000001E-2</v>
      </c>
      <c r="AQ466" s="738">
        <v>18</v>
      </c>
      <c r="AR466" s="728">
        <v>0.82799999999999996</v>
      </c>
      <c r="AS466" s="729">
        <v>9</v>
      </c>
      <c r="AT466" s="728">
        <v>3.0000000000000001E-3</v>
      </c>
      <c r="AU466" s="730">
        <v>10</v>
      </c>
      <c r="AV466" s="731">
        <v>0.182</v>
      </c>
      <c r="AW466" s="730">
        <v>8</v>
      </c>
      <c r="AX466" s="728">
        <v>0.15</v>
      </c>
      <c r="AY466" s="730">
        <v>8</v>
      </c>
      <c r="AZ466" s="728">
        <v>9.0999999999999998E-2</v>
      </c>
      <c r="BA466" s="730">
        <v>7</v>
      </c>
      <c r="BB466" s="733">
        <v>4.9000000000000002E-2</v>
      </c>
      <c r="BC466" s="730">
        <v>2</v>
      </c>
      <c r="BD466" s="6"/>
    </row>
    <row r="467" spans="7:56" s="704" customFormat="1" ht="15">
      <c r="G467" s="1546"/>
      <c r="W467" s="6"/>
      <c r="X467" s="87"/>
      <c r="Y467" s="87"/>
      <c r="Z467" s="739"/>
      <c r="AA467" s="739"/>
      <c r="AB467" s="743"/>
      <c r="AC467" s="108"/>
      <c r="AD467" s="108"/>
      <c r="AE467" s="770" t="s">
        <v>1295</v>
      </c>
      <c r="AF467" s="771" t="s">
        <v>653</v>
      </c>
      <c r="AG467" s="108"/>
      <c r="AH467" s="454" t="s">
        <v>460</v>
      </c>
      <c r="AI467" s="455">
        <v>9625</v>
      </c>
      <c r="AJ467" s="735">
        <v>8.3018867924528297E-2</v>
      </c>
      <c r="AK467" s="730">
        <v>15</v>
      </c>
      <c r="AL467" s="736">
        <v>44472</v>
      </c>
      <c r="AM467" s="729">
        <v>14</v>
      </c>
      <c r="AN467" s="737">
        <v>0.441</v>
      </c>
      <c r="AO467" s="729">
        <v>10</v>
      </c>
      <c r="AP467" s="728">
        <v>3.2000000000000001E-2</v>
      </c>
      <c r="AQ467" s="738">
        <v>18</v>
      </c>
      <c r="AR467" s="728">
        <v>0.75</v>
      </c>
      <c r="AS467" s="729">
        <v>8</v>
      </c>
      <c r="AT467" s="728">
        <v>2.3E-2</v>
      </c>
      <c r="AU467" s="730">
        <v>8</v>
      </c>
      <c r="AV467" s="731">
        <v>0.16899999999999998</v>
      </c>
      <c r="AW467" s="730">
        <v>8</v>
      </c>
      <c r="AX467" s="728">
        <v>0.21</v>
      </c>
      <c r="AY467" s="730">
        <v>7</v>
      </c>
      <c r="AZ467" s="728">
        <v>5.5E-2</v>
      </c>
      <c r="BA467" s="730">
        <v>9</v>
      </c>
      <c r="BB467" s="733">
        <v>7.5999999999999998E-2</v>
      </c>
      <c r="BC467" s="730">
        <v>2</v>
      </c>
      <c r="BD467" s="6"/>
    </row>
    <row r="468" spans="7:56" s="704" customFormat="1" ht="15">
      <c r="G468" s="1546"/>
      <c r="W468" s="6"/>
      <c r="X468" s="87"/>
      <c r="Y468" s="87"/>
      <c r="Z468" s="739"/>
      <c r="AA468" s="739"/>
      <c r="AB468" s="743"/>
      <c r="AC468" s="108"/>
      <c r="AD468" s="108"/>
      <c r="AE468" s="770" t="s">
        <v>1296</v>
      </c>
      <c r="AF468" s="771" t="s">
        <v>653</v>
      </c>
      <c r="AG468" s="108"/>
      <c r="AH468" s="454" t="s">
        <v>461</v>
      </c>
      <c r="AI468" s="455">
        <v>9628</v>
      </c>
      <c r="AJ468" s="735">
        <v>3.3742331288343558E-2</v>
      </c>
      <c r="AK468" s="730">
        <v>24</v>
      </c>
      <c r="AL468" s="736">
        <v>34300</v>
      </c>
      <c r="AM468" s="729">
        <v>18</v>
      </c>
      <c r="AN468" s="737">
        <v>0.48700000000000004</v>
      </c>
      <c r="AO468" s="729">
        <v>12</v>
      </c>
      <c r="AP468" s="728">
        <v>1.4999999999999999E-2</v>
      </c>
      <c r="AQ468" s="738">
        <v>20</v>
      </c>
      <c r="AR468" s="728">
        <v>0.88800000000000001</v>
      </c>
      <c r="AS468" s="729">
        <v>10</v>
      </c>
      <c r="AT468" s="728">
        <v>3.4000000000000002E-2</v>
      </c>
      <c r="AU468" s="730">
        <v>7</v>
      </c>
      <c r="AV468" s="731">
        <v>0.158</v>
      </c>
      <c r="AW468" s="730">
        <v>8</v>
      </c>
      <c r="AX468" s="728">
        <v>0.16600000000000001</v>
      </c>
      <c r="AY468" s="730">
        <v>8</v>
      </c>
      <c r="AZ468" s="728">
        <v>7.6999999999999999E-2</v>
      </c>
      <c r="BA468" s="730">
        <v>8</v>
      </c>
      <c r="BB468" s="733">
        <v>0.10400000000000001</v>
      </c>
      <c r="BC468" s="730">
        <v>3</v>
      </c>
      <c r="BD468" s="6"/>
    </row>
    <row r="469" spans="7:56" s="704" customFormat="1" ht="15">
      <c r="G469" s="1546"/>
      <c r="W469" s="6"/>
      <c r="X469" s="87"/>
      <c r="Y469" s="87"/>
      <c r="Z469" s="739"/>
      <c r="AA469" s="739"/>
      <c r="AB469" s="743"/>
      <c r="AC469" s="108"/>
      <c r="AD469" s="108"/>
      <c r="AE469" s="770" t="s">
        <v>1297</v>
      </c>
      <c r="AF469" s="771" t="s">
        <v>1450</v>
      </c>
      <c r="AG469" s="108"/>
      <c r="AH469" s="454" t="s">
        <v>461</v>
      </c>
      <c r="AI469" s="455">
        <v>9629</v>
      </c>
      <c r="AJ469" s="735">
        <v>3.3742331288343558E-2</v>
      </c>
      <c r="AK469" s="730">
        <v>24</v>
      </c>
      <c r="AL469" s="736">
        <v>34300</v>
      </c>
      <c r="AM469" s="729">
        <v>18</v>
      </c>
      <c r="AN469" s="737">
        <v>0.48700000000000004</v>
      </c>
      <c r="AO469" s="729">
        <v>12</v>
      </c>
      <c r="AP469" s="728">
        <v>1.4999999999999999E-2</v>
      </c>
      <c r="AQ469" s="738">
        <v>20</v>
      </c>
      <c r="AR469" s="728">
        <v>0.82299999999999995</v>
      </c>
      <c r="AS469" s="729">
        <v>9</v>
      </c>
      <c r="AT469" s="728">
        <v>2.2000000000000002E-2</v>
      </c>
      <c r="AU469" s="730">
        <v>8</v>
      </c>
      <c r="AV469" s="731">
        <v>0.217</v>
      </c>
      <c r="AW469" s="730">
        <v>8</v>
      </c>
      <c r="AX469" s="728">
        <v>0.19800000000000001</v>
      </c>
      <c r="AY469" s="730">
        <v>7</v>
      </c>
      <c r="AZ469" s="728">
        <v>0.152</v>
      </c>
      <c r="BA469" s="730">
        <v>5</v>
      </c>
      <c r="BB469" s="733">
        <v>5.9000000000000004E-2</v>
      </c>
      <c r="BC469" s="730">
        <v>2</v>
      </c>
      <c r="BD469" s="6"/>
    </row>
    <row r="470" spans="7:56" s="704" customFormat="1" ht="15">
      <c r="G470" s="1546"/>
      <c r="W470" s="6"/>
      <c r="X470" s="87"/>
      <c r="Y470" s="87"/>
      <c r="Z470" s="739"/>
      <c r="AA470" s="739"/>
      <c r="AB470" s="743"/>
      <c r="AC470" s="108"/>
      <c r="AD470" s="108"/>
      <c r="AE470" s="770" t="s">
        <v>1298</v>
      </c>
      <c r="AF470" s="771" t="s">
        <v>1450</v>
      </c>
      <c r="AG470" s="108"/>
      <c r="AH470" s="454" t="s">
        <v>461</v>
      </c>
      <c r="AI470" s="455">
        <v>9630</v>
      </c>
      <c r="AJ470" s="735">
        <v>3.3742331288343558E-2</v>
      </c>
      <c r="AK470" s="730">
        <v>24</v>
      </c>
      <c r="AL470" s="736">
        <v>34300</v>
      </c>
      <c r="AM470" s="729">
        <v>18</v>
      </c>
      <c r="AN470" s="737">
        <v>0.48700000000000004</v>
      </c>
      <c r="AO470" s="729">
        <v>12</v>
      </c>
      <c r="AP470" s="728">
        <v>1.4999999999999999E-2</v>
      </c>
      <c r="AQ470" s="738">
        <v>20</v>
      </c>
      <c r="AR470" s="728">
        <v>0.54299999999999993</v>
      </c>
      <c r="AS470" s="729">
        <v>6</v>
      </c>
      <c r="AT470" s="728">
        <v>3.0000000000000001E-3</v>
      </c>
      <c r="AU470" s="730">
        <v>10</v>
      </c>
      <c r="AV470" s="731">
        <v>0.22500000000000001</v>
      </c>
      <c r="AW470" s="730">
        <v>8</v>
      </c>
      <c r="AX470" s="728">
        <v>0.34</v>
      </c>
      <c r="AY470" s="730">
        <v>5</v>
      </c>
      <c r="AZ470" s="728">
        <v>8.4000000000000005E-2</v>
      </c>
      <c r="BA470" s="730">
        <v>8</v>
      </c>
      <c r="BB470" s="733">
        <v>8.5999999999999993E-2</v>
      </c>
      <c r="BC470" s="730">
        <v>3</v>
      </c>
      <c r="BD470" s="6"/>
    </row>
    <row r="471" spans="7:56" s="704" customFormat="1" ht="15">
      <c r="G471" s="1546"/>
      <c r="W471" s="6"/>
      <c r="X471" s="87"/>
      <c r="Y471" s="87"/>
      <c r="Z471" s="739"/>
      <c r="AA471" s="739"/>
      <c r="AB471" s="743"/>
      <c r="AC471" s="108"/>
      <c r="AD471" s="108"/>
      <c r="AE471" s="770" t="s">
        <v>1299</v>
      </c>
      <c r="AF471" s="771" t="s">
        <v>1450</v>
      </c>
      <c r="AG471" s="108"/>
      <c r="AH471" s="454" t="s">
        <v>461</v>
      </c>
      <c r="AI471" s="455">
        <v>9631</v>
      </c>
      <c r="AJ471" s="735">
        <v>3.3742331288343558E-2</v>
      </c>
      <c r="AK471" s="730">
        <v>24</v>
      </c>
      <c r="AL471" s="736">
        <v>34300</v>
      </c>
      <c r="AM471" s="729">
        <v>18</v>
      </c>
      <c r="AN471" s="737">
        <v>0.48700000000000004</v>
      </c>
      <c r="AO471" s="729">
        <v>12</v>
      </c>
      <c r="AP471" s="728">
        <v>1.4999999999999999E-2</v>
      </c>
      <c r="AQ471" s="738">
        <v>20</v>
      </c>
      <c r="AR471" s="728">
        <v>0.89200000000000002</v>
      </c>
      <c r="AS471" s="729">
        <v>10</v>
      </c>
      <c r="AT471" s="728">
        <v>6.0000000000000001E-3</v>
      </c>
      <c r="AU471" s="730">
        <v>10</v>
      </c>
      <c r="AV471" s="731">
        <v>0.218</v>
      </c>
      <c r="AW471" s="730">
        <v>8</v>
      </c>
      <c r="AX471" s="728">
        <v>0.17899999999999999</v>
      </c>
      <c r="AY471" s="730">
        <v>8</v>
      </c>
      <c r="AZ471" s="728">
        <v>9.8000000000000004E-2</v>
      </c>
      <c r="BA471" s="730">
        <v>7</v>
      </c>
      <c r="BB471" s="733">
        <v>5.9000000000000004E-2</v>
      </c>
      <c r="BC471" s="730">
        <v>2</v>
      </c>
      <c r="BD471" s="6"/>
    </row>
    <row r="472" spans="7:56" s="704" customFormat="1" ht="15">
      <c r="G472" s="1546"/>
      <c r="W472" s="6"/>
      <c r="X472" s="87"/>
      <c r="Y472" s="87"/>
      <c r="Z472" s="739"/>
      <c r="AA472" s="739"/>
      <c r="AB472" s="743"/>
      <c r="AC472" s="108"/>
      <c r="AD472" s="108"/>
      <c r="AE472" s="770" t="s">
        <v>1300</v>
      </c>
      <c r="AF472" s="771" t="s">
        <v>1450</v>
      </c>
      <c r="AG472" s="108"/>
      <c r="AH472" s="454" t="s">
        <v>462</v>
      </c>
      <c r="AI472" s="455">
        <v>5</v>
      </c>
      <c r="AJ472" s="735">
        <v>5.0105857445306989E-2</v>
      </c>
      <c r="AK472" s="730">
        <v>21</v>
      </c>
      <c r="AL472" s="736">
        <v>36049</v>
      </c>
      <c r="AM472" s="729">
        <v>18</v>
      </c>
      <c r="AN472" s="737">
        <v>0.53200000000000003</v>
      </c>
      <c r="AO472" s="729">
        <v>14</v>
      </c>
      <c r="AP472" s="728">
        <v>8.199999999999999E-2</v>
      </c>
      <c r="AQ472" s="738">
        <v>12</v>
      </c>
      <c r="AR472" s="728">
        <v>0.753</v>
      </c>
      <c r="AS472" s="729">
        <v>8</v>
      </c>
      <c r="AT472" s="728">
        <v>3.6000000000000004E-2</v>
      </c>
      <c r="AU472" s="730">
        <v>7</v>
      </c>
      <c r="AV472" s="731">
        <v>0.33500000000000002</v>
      </c>
      <c r="AW472" s="730">
        <v>6</v>
      </c>
      <c r="AX472" s="728">
        <v>0.33299999999999996</v>
      </c>
      <c r="AY472" s="730">
        <v>5</v>
      </c>
      <c r="AZ472" s="728">
        <v>0.11199999999999999</v>
      </c>
      <c r="BA472" s="730">
        <v>7</v>
      </c>
      <c r="BB472" s="733">
        <v>6.6000000000000003E-2</v>
      </c>
      <c r="BC472" s="730">
        <v>2</v>
      </c>
      <c r="BD472" s="6"/>
    </row>
    <row r="473" spans="7:56" s="704" customFormat="1" ht="15">
      <c r="G473" s="1546"/>
      <c r="W473" s="6"/>
      <c r="X473" s="87"/>
      <c r="Y473" s="87"/>
      <c r="Z473" s="739"/>
      <c r="AA473" s="739"/>
      <c r="AB473" s="743"/>
      <c r="AC473" s="108"/>
      <c r="AD473" s="108"/>
      <c r="AE473" s="770" t="s">
        <v>1301</v>
      </c>
      <c r="AF473" s="771" t="s">
        <v>1450</v>
      </c>
      <c r="AG473" s="108"/>
      <c r="AH473" s="454" t="s">
        <v>462</v>
      </c>
      <c r="AI473" s="455">
        <v>6</v>
      </c>
      <c r="AJ473" s="735">
        <v>5.0105857445306989E-2</v>
      </c>
      <c r="AK473" s="730">
        <v>21</v>
      </c>
      <c r="AL473" s="736">
        <v>36049</v>
      </c>
      <c r="AM473" s="729">
        <v>18</v>
      </c>
      <c r="AN473" s="737">
        <v>0.53200000000000003</v>
      </c>
      <c r="AO473" s="729">
        <v>14</v>
      </c>
      <c r="AP473" s="728">
        <v>8.199999999999999E-2</v>
      </c>
      <c r="AQ473" s="738">
        <v>12</v>
      </c>
      <c r="AR473" s="728">
        <v>0.7609999999999999</v>
      </c>
      <c r="AS473" s="729">
        <v>9</v>
      </c>
      <c r="AT473" s="728">
        <v>0</v>
      </c>
      <c r="AU473" s="730">
        <v>10</v>
      </c>
      <c r="AV473" s="731">
        <v>0.28000000000000003</v>
      </c>
      <c r="AW473" s="730">
        <v>7</v>
      </c>
      <c r="AX473" s="728">
        <v>0.27899999999999997</v>
      </c>
      <c r="AY473" s="730">
        <v>6</v>
      </c>
      <c r="AZ473" s="728">
        <v>0.09</v>
      </c>
      <c r="BA473" s="730">
        <v>7</v>
      </c>
      <c r="BB473" s="733">
        <v>6.6000000000000003E-2</v>
      </c>
      <c r="BC473" s="730">
        <v>2</v>
      </c>
      <c r="BD473" s="6"/>
    </row>
    <row r="474" spans="7:56" s="704" customFormat="1" ht="15">
      <c r="G474" s="1546"/>
      <c r="W474" s="6"/>
      <c r="X474" s="87"/>
      <c r="Y474" s="87"/>
      <c r="Z474" s="739"/>
      <c r="AA474" s="739"/>
      <c r="AB474" s="743"/>
      <c r="AC474" s="108"/>
      <c r="AD474" s="108"/>
      <c r="AE474" s="770" t="s">
        <v>1302</v>
      </c>
      <c r="AF474" s="771" t="s">
        <v>1450</v>
      </c>
      <c r="AG474" s="108"/>
      <c r="AH474" s="454" t="s">
        <v>462</v>
      </c>
      <c r="AI474" s="455">
        <v>7</v>
      </c>
      <c r="AJ474" s="735">
        <v>5.0105857445306989E-2</v>
      </c>
      <c r="AK474" s="730">
        <v>21</v>
      </c>
      <c r="AL474" s="736">
        <v>36049</v>
      </c>
      <c r="AM474" s="729">
        <v>18</v>
      </c>
      <c r="AN474" s="737">
        <v>0.53200000000000003</v>
      </c>
      <c r="AO474" s="729">
        <v>14</v>
      </c>
      <c r="AP474" s="728">
        <v>8.199999999999999E-2</v>
      </c>
      <c r="AQ474" s="738">
        <v>12</v>
      </c>
      <c r="AR474" s="728">
        <v>0.495</v>
      </c>
      <c r="AS474" s="729">
        <v>6</v>
      </c>
      <c r="AT474" s="728">
        <v>0</v>
      </c>
      <c r="AU474" s="730">
        <v>10</v>
      </c>
      <c r="AV474" s="731">
        <v>0.15</v>
      </c>
      <c r="AW474" s="730">
        <v>9</v>
      </c>
      <c r="AX474" s="728">
        <v>0.25700000000000001</v>
      </c>
      <c r="AY474" s="730">
        <v>6</v>
      </c>
      <c r="AZ474" s="728">
        <v>0.14000000000000001</v>
      </c>
      <c r="BA474" s="730">
        <v>6</v>
      </c>
      <c r="BB474" s="733">
        <v>0.115</v>
      </c>
      <c r="BC474" s="730">
        <v>4</v>
      </c>
      <c r="BD474" s="6"/>
    </row>
    <row r="475" spans="7:56" s="704" customFormat="1" ht="15">
      <c r="G475" s="1546"/>
      <c r="W475" s="6"/>
      <c r="X475" s="87"/>
      <c r="Y475" s="87"/>
      <c r="Z475" s="739"/>
      <c r="AA475" s="739"/>
      <c r="AB475" s="743"/>
      <c r="AC475" s="108"/>
      <c r="AD475" s="108"/>
      <c r="AE475" s="770" t="s">
        <v>2586</v>
      </c>
      <c r="AF475" s="771" t="s">
        <v>1450</v>
      </c>
      <c r="AG475" s="108"/>
      <c r="AH475" s="454" t="s">
        <v>462</v>
      </c>
      <c r="AI475" s="455">
        <v>8</v>
      </c>
      <c r="AJ475" s="735">
        <v>5.0105857445306989E-2</v>
      </c>
      <c r="AK475" s="730">
        <v>21</v>
      </c>
      <c r="AL475" s="736">
        <v>36049</v>
      </c>
      <c r="AM475" s="729">
        <v>18</v>
      </c>
      <c r="AN475" s="737">
        <v>0.53200000000000003</v>
      </c>
      <c r="AO475" s="729">
        <v>14</v>
      </c>
      <c r="AP475" s="728">
        <v>8.199999999999999E-2</v>
      </c>
      <c r="AQ475" s="738">
        <v>12</v>
      </c>
      <c r="AR475" s="728">
        <v>0.82900000000000007</v>
      </c>
      <c r="AS475" s="729">
        <v>9</v>
      </c>
      <c r="AT475" s="728">
        <v>3.2000000000000001E-2</v>
      </c>
      <c r="AU475" s="730">
        <v>8</v>
      </c>
      <c r="AV475" s="731">
        <v>0.13500000000000001</v>
      </c>
      <c r="AW475" s="730">
        <v>9</v>
      </c>
      <c r="AX475" s="728">
        <v>0.16200000000000001</v>
      </c>
      <c r="AY475" s="730">
        <v>8</v>
      </c>
      <c r="AZ475" s="728">
        <v>7.2000000000000008E-2</v>
      </c>
      <c r="BA475" s="730">
        <v>8</v>
      </c>
      <c r="BB475" s="733">
        <v>0.10199999999999999</v>
      </c>
      <c r="BC475" s="730">
        <v>3</v>
      </c>
      <c r="BD475" s="6"/>
    </row>
    <row r="476" spans="7:56" s="704" customFormat="1" ht="15">
      <c r="G476" s="1546"/>
      <c r="W476" s="6"/>
      <c r="X476" s="87"/>
      <c r="Y476" s="87"/>
      <c r="Z476" s="739"/>
      <c r="AA476" s="739"/>
      <c r="AB476" s="743"/>
      <c r="AC476" s="108"/>
      <c r="AD476" s="108"/>
      <c r="AE476" s="770" t="s">
        <v>1303</v>
      </c>
      <c r="AF476" s="771" t="s">
        <v>1450</v>
      </c>
      <c r="AG476" s="108"/>
      <c r="AH476" s="454" t="s">
        <v>463</v>
      </c>
      <c r="AI476" s="455">
        <v>9646</v>
      </c>
      <c r="AJ476" s="724">
        <v>7.810413885180241E-2</v>
      </c>
      <c r="AK476" s="725">
        <v>15</v>
      </c>
      <c r="AL476" s="726">
        <v>47205</v>
      </c>
      <c r="AM476" s="725">
        <v>12</v>
      </c>
      <c r="AN476" s="727">
        <v>0.28800000000000003</v>
      </c>
      <c r="AO476" s="725">
        <v>4</v>
      </c>
      <c r="AP476" s="727">
        <v>3.9E-2</v>
      </c>
      <c r="AQ476" s="725">
        <v>18</v>
      </c>
      <c r="AR476" s="728">
        <v>0.75</v>
      </c>
      <c r="AS476" s="729">
        <v>8</v>
      </c>
      <c r="AT476" s="728">
        <v>0</v>
      </c>
      <c r="AU476" s="730">
        <v>10</v>
      </c>
      <c r="AV476" s="731">
        <v>0.19399999999999998</v>
      </c>
      <c r="AW476" s="730">
        <v>8</v>
      </c>
      <c r="AX476" s="728">
        <v>0.193</v>
      </c>
      <c r="AY476" s="730">
        <v>7</v>
      </c>
      <c r="AZ476" s="728">
        <v>8.5000000000000006E-2</v>
      </c>
      <c r="BA476" s="730">
        <v>8</v>
      </c>
      <c r="BB476" s="733">
        <v>0.14699999999999999</v>
      </c>
      <c r="BC476" s="730">
        <v>4</v>
      </c>
      <c r="BD476" s="6"/>
    </row>
    <row r="477" spans="7:56" s="704" customFormat="1" ht="15">
      <c r="G477" s="1546"/>
      <c r="W477" s="6"/>
      <c r="X477" s="87"/>
      <c r="Y477" s="87"/>
      <c r="Z477" s="739"/>
      <c r="AA477" s="739"/>
      <c r="AB477" s="743"/>
      <c r="AC477" s="108"/>
      <c r="AD477" s="108"/>
      <c r="AE477" s="770" t="s">
        <v>1304</v>
      </c>
      <c r="AF477" s="771" t="s">
        <v>653</v>
      </c>
      <c r="AG477" s="108"/>
      <c r="AH477" s="454" t="s">
        <v>463</v>
      </c>
      <c r="AI477" s="455">
        <v>9647</v>
      </c>
      <c r="AJ477" s="724">
        <v>7.810413885180241E-2</v>
      </c>
      <c r="AK477" s="725">
        <v>15</v>
      </c>
      <c r="AL477" s="726">
        <v>47205</v>
      </c>
      <c r="AM477" s="725">
        <v>12</v>
      </c>
      <c r="AN477" s="727">
        <v>0.28800000000000003</v>
      </c>
      <c r="AO477" s="725">
        <v>4</v>
      </c>
      <c r="AP477" s="727">
        <v>3.9E-2</v>
      </c>
      <c r="AQ477" s="725">
        <v>18</v>
      </c>
      <c r="AR477" s="728">
        <v>0.82299999999999995</v>
      </c>
      <c r="AS477" s="729">
        <v>9</v>
      </c>
      <c r="AT477" s="728">
        <v>6.0000000000000001E-3</v>
      </c>
      <c r="AU477" s="730">
        <v>10</v>
      </c>
      <c r="AV477" s="731">
        <v>6.4000000000000001E-2</v>
      </c>
      <c r="AW477" s="730">
        <v>10</v>
      </c>
      <c r="AX477" s="728">
        <v>5.5999999999999994E-2</v>
      </c>
      <c r="AY477" s="730">
        <v>10</v>
      </c>
      <c r="AZ477" s="728">
        <v>1.9E-2</v>
      </c>
      <c r="BA477" s="730">
        <v>10</v>
      </c>
      <c r="BB477" s="733">
        <v>0.17399999999999999</v>
      </c>
      <c r="BC477" s="730">
        <v>5</v>
      </c>
      <c r="BD477" s="6"/>
    </row>
    <row r="478" spans="7:56" s="704" customFormat="1" ht="15">
      <c r="G478" s="1546"/>
      <c r="W478" s="6"/>
      <c r="X478" s="87"/>
      <c r="Y478" s="87"/>
      <c r="Z478" s="739"/>
      <c r="AA478" s="739"/>
      <c r="AB478" s="743"/>
      <c r="AC478" s="108"/>
      <c r="AD478" s="108"/>
      <c r="AE478" s="770" t="s">
        <v>1305</v>
      </c>
      <c r="AF478" s="771" t="s">
        <v>1450</v>
      </c>
      <c r="AG478" s="108"/>
      <c r="AH478" s="454" t="s">
        <v>463</v>
      </c>
      <c r="AI478" s="455">
        <v>9648</v>
      </c>
      <c r="AJ478" s="724">
        <v>7.810413885180241E-2</v>
      </c>
      <c r="AK478" s="725">
        <v>15</v>
      </c>
      <c r="AL478" s="726">
        <v>47205</v>
      </c>
      <c r="AM478" s="725">
        <v>12</v>
      </c>
      <c r="AN478" s="727">
        <v>0.28800000000000003</v>
      </c>
      <c r="AO478" s="725">
        <v>4</v>
      </c>
      <c r="AP478" s="727">
        <v>3.9E-2</v>
      </c>
      <c r="AQ478" s="725">
        <v>18</v>
      </c>
      <c r="AR478" s="728">
        <v>0.7609999999999999</v>
      </c>
      <c r="AS478" s="729">
        <v>9</v>
      </c>
      <c r="AT478" s="728">
        <v>1.1000000000000001E-2</v>
      </c>
      <c r="AU478" s="730">
        <v>9</v>
      </c>
      <c r="AV478" s="731">
        <v>0.247</v>
      </c>
      <c r="AW478" s="730">
        <v>7</v>
      </c>
      <c r="AX478" s="728">
        <v>0.24299999999999999</v>
      </c>
      <c r="AY478" s="730">
        <v>6</v>
      </c>
      <c r="AZ478" s="728">
        <v>0.11</v>
      </c>
      <c r="BA478" s="730">
        <v>7</v>
      </c>
      <c r="BB478" s="733">
        <v>9.3000000000000013E-2</v>
      </c>
      <c r="BC478" s="730">
        <v>3</v>
      </c>
      <c r="BD478" s="6"/>
    </row>
    <row r="479" spans="7:56" s="704" customFormat="1" ht="15">
      <c r="G479" s="1546"/>
      <c r="W479" s="6"/>
      <c r="X479" s="87"/>
      <c r="Y479" s="87"/>
      <c r="Z479" s="739"/>
      <c r="AA479" s="739"/>
      <c r="AB479" s="743"/>
      <c r="AC479" s="108"/>
      <c r="AD479" s="108"/>
      <c r="AE479" s="770" t="s">
        <v>1306</v>
      </c>
      <c r="AF479" s="771" t="s">
        <v>653</v>
      </c>
      <c r="AG479" s="108"/>
      <c r="AH479" s="454" t="s">
        <v>463</v>
      </c>
      <c r="AI479" s="455">
        <v>9649</v>
      </c>
      <c r="AJ479" s="724">
        <v>7.810413885180241E-2</v>
      </c>
      <c r="AK479" s="725">
        <v>15</v>
      </c>
      <c r="AL479" s="726">
        <v>47205</v>
      </c>
      <c r="AM479" s="725">
        <v>12</v>
      </c>
      <c r="AN479" s="727">
        <v>0.28800000000000003</v>
      </c>
      <c r="AO479" s="725">
        <v>4</v>
      </c>
      <c r="AP479" s="727">
        <v>3.9E-2</v>
      </c>
      <c r="AQ479" s="725">
        <v>18</v>
      </c>
      <c r="AR479" s="728">
        <v>0.76500000000000001</v>
      </c>
      <c r="AS479" s="729">
        <v>9</v>
      </c>
      <c r="AT479" s="728">
        <v>9.0000000000000011E-3</v>
      </c>
      <c r="AU479" s="730">
        <v>10</v>
      </c>
      <c r="AV479" s="731">
        <v>0.193</v>
      </c>
      <c r="AW479" s="730">
        <v>8</v>
      </c>
      <c r="AX479" s="728">
        <v>0.23</v>
      </c>
      <c r="AY479" s="730">
        <v>7</v>
      </c>
      <c r="AZ479" s="728">
        <v>0.17899999999999999</v>
      </c>
      <c r="BA479" s="730">
        <v>4</v>
      </c>
      <c r="BB479" s="733">
        <v>3.7999999999999999E-2</v>
      </c>
      <c r="BC479" s="730">
        <v>2</v>
      </c>
      <c r="BD479" s="6"/>
    </row>
    <row r="480" spans="7:56" s="704" customFormat="1" ht="15">
      <c r="G480" s="1546"/>
      <c r="W480" s="6"/>
      <c r="X480" s="87"/>
      <c r="Y480" s="87"/>
      <c r="Z480" s="739"/>
      <c r="AA480" s="739"/>
      <c r="AB480" s="743"/>
      <c r="AC480" s="108"/>
      <c r="AD480" s="108"/>
      <c r="AE480" s="770" t="s">
        <v>1307</v>
      </c>
      <c r="AF480" s="771" t="s">
        <v>653</v>
      </c>
      <c r="AG480" s="108"/>
      <c r="AH480" s="454" t="s">
        <v>464</v>
      </c>
      <c r="AI480" s="455">
        <v>9652</v>
      </c>
      <c r="AJ480" s="724">
        <v>4.9844236760124609E-2</v>
      </c>
      <c r="AK480" s="725">
        <v>21</v>
      </c>
      <c r="AL480" s="726">
        <v>45655</v>
      </c>
      <c r="AM480" s="725">
        <v>14</v>
      </c>
      <c r="AN480" s="727">
        <v>0.35399999999999998</v>
      </c>
      <c r="AO480" s="725">
        <v>6</v>
      </c>
      <c r="AP480" s="727">
        <v>0.20199999999999999</v>
      </c>
      <c r="AQ480" s="725">
        <v>2</v>
      </c>
      <c r="AR480" s="728">
        <v>0.85</v>
      </c>
      <c r="AS480" s="729">
        <v>9</v>
      </c>
      <c r="AT480" s="728">
        <v>9.0000000000000011E-3</v>
      </c>
      <c r="AU480" s="730">
        <v>10</v>
      </c>
      <c r="AV480" s="731">
        <v>0.13800000000000001</v>
      </c>
      <c r="AW480" s="730">
        <v>9</v>
      </c>
      <c r="AX480" s="728">
        <v>9.6999999999999989E-2</v>
      </c>
      <c r="AY480" s="730">
        <v>9</v>
      </c>
      <c r="AZ480" s="728">
        <v>2.6000000000000002E-2</v>
      </c>
      <c r="BA480" s="730">
        <v>10</v>
      </c>
      <c r="BB480" s="733">
        <v>9.8000000000000004E-2</v>
      </c>
      <c r="BC480" s="730">
        <v>3</v>
      </c>
      <c r="BD480" s="6"/>
    </row>
    <row r="481" spans="7:56" s="704" customFormat="1" ht="15">
      <c r="G481" s="1546"/>
      <c r="W481" s="6"/>
      <c r="X481" s="87"/>
      <c r="Y481" s="87"/>
      <c r="Z481" s="739"/>
      <c r="AA481" s="739"/>
      <c r="AB481" s="743"/>
      <c r="AC481" s="108"/>
      <c r="AD481" s="108"/>
      <c r="AE481" s="770" t="s">
        <v>1308</v>
      </c>
      <c r="AF481" s="771" t="s">
        <v>1450</v>
      </c>
      <c r="AG481" s="108"/>
      <c r="AH481" s="454" t="s">
        <v>464</v>
      </c>
      <c r="AI481" s="455">
        <v>9653</v>
      </c>
      <c r="AJ481" s="724">
        <v>4.9844236760124609E-2</v>
      </c>
      <c r="AK481" s="725">
        <v>21</v>
      </c>
      <c r="AL481" s="726">
        <v>45655</v>
      </c>
      <c r="AM481" s="725">
        <v>14</v>
      </c>
      <c r="AN481" s="727">
        <v>0.35399999999999998</v>
      </c>
      <c r="AO481" s="725">
        <v>6</v>
      </c>
      <c r="AP481" s="727">
        <v>0.20199999999999999</v>
      </c>
      <c r="AQ481" s="725">
        <v>2</v>
      </c>
      <c r="AR481" s="728">
        <v>0.85499999999999998</v>
      </c>
      <c r="AS481" s="729">
        <v>10</v>
      </c>
      <c r="AT481" s="728">
        <v>6.0000000000000001E-3</v>
      </c>
      <c r="AU481" s="730">
        <v>10</v>
      </c>
      <c r="AV481" s="731">
        <v>0.124</v>
      </c>
      <c r="AW481" s="730">
        <v>9</v>
      </c>
      <c r="AX481" s="728">
        <v>9.6000000000000002E-2</v>
      </c>
      <c r="AY481" s="730">
        <v>9</v>
      </c>
      <c r="AZ481" s="728">
        <v>6.4000000000000001E-2</v>
      </c>
      <c r="BA481" s="730">
        <v>8</v>
      </c>
      <c r="BB481" s="733">
        <v>0.13</v>
      </c>
      <c r="BC481" s="730">
        <v>4</v>
      </c>
      <c r="BD481" s="6"/>
    </row>
    <row r="482" spans="7:56" s="704" customFormat="1" ht="15">
      <c r="G482" s="1546"/>
      <c r="W482" s="6"/>
      <c r="X482" s="87"/>
      <c r="Y482" s="87"/>
      <c r="Z482" s="739"/>
      <c r="AA482" s="739"/>
      <c r="AB482" s="743"/>
      <c r="AC482" s="108"/>
      <c r="AD482" s="108"/>
      <c r="AE482" s="770" t="s">
        <v>1309</v>
      </c>
      <c r="AF482" s="771" t="s">
        <v>653</v>
      </c>
      <c r="AG482" s="108"/>
      <c r="AH482" s="454" t="s">
        <v>464</v>
      </c>
      <c r="AI482" s="455">
        <v>9654</v>
      </c>
      <c r="AJ482" s="724">
        <v>4.9844236760124609E-2</v>
      </c>
      <c r="AK482" s="725">
        <v>21</v>
      </c>
      <c r="AL482" s="726">
        <v>45655</v>
      </c>
      <c r="AM482" s="725">
        <v>14</v>
      </c>
      <c r="AN482" s="727">
        <v>0.35399999999999998</v>
      </c>
      <c r="AO482" s="725">
        <v>6</v>
      </c>
      <c r="AP482" s="727">
        <v>0.20199999999999999</v>
      </c>
      <c r="AQ482" s="725">
        <v>2</v>
      </c>
      <c r="AR482" s="728">
        <v>0.70799999999999996</v>
      </c>
      <c r="AS482" s="729">
        <v>8</v>
      </c>
      <c r="AT482" s="728">
        <v>9.0000000000000011E-3</v>
      </c>
      <c r="AU482" s="730">
        <v>10</v>
      </c>
      <c r="AV482" s="731">
        <v>0.158</v>
      </c>
      <c r="AW482" s="730">
        <v>8</v>
      </c>
      <c r="AX482" s="728">
        <v>0.17300000000000001</v>
      </c>
      <c r="AY482" s="730">
        <v>8</v>
      </c>
      <c r="AZ482" s="728">
        <v>4.5999999999999999E-2</v>
      </c>
      <c r="BA482" s="730">
        <v>9</v>
      </c>
      <c r="BB482" s="733">
        <v>8.5000000000000006E-2</v>
      </c>
      <c r="BC482" s="730">
        <v>3</v>
      </c>
      <c r="BD482" s="6"/>
    </row>
    <row r="483" spans="7:56" s="704" customFormat="1" ht="15">
      <c r="G483" s="1546"/>
      <c r="W483" s="6"/>
      <c r="X483" s="87"/>
      <c r="Y483" s="87"/>
      <c r="Z483" s="739"/>
      <c r="AA483" s="739"/>
      <c r="AB483" s="743"/>
      <c r="AC483" s="108"/>
      <c r="AD483" s="108"/>
      <c r="AE483" s="770" t="s">
        <v>2587</v>
      </c>
      <c r="AF483" s="771" t="s">
        <v>652</v>
      </c>
      <c r="AG483" s="108"/>
      <c r="AH483" s="454" t="s">
        <v>465</v>
      </c>
      <c r="AI483" s="455">
        <v>9618</v>
      </c>
      <c r="AJ483" s="724">
        <v>0.11128526645768025</v>
      </c>
      <c r="AK483" s="725">
        <v>9</v>
      </c>
      <c r="AL483" s="726">
        <v>41108</v>
      </c>
      <c r="AM483" s="725">
        <v>16</v>
      </c>
      <c r="AN483" s="727">
        <v>0.5109999999999999</v>
      </c>
      <c r="AO483" s="725">
        <v>14</v>
      </c>
      <c r="AP483" s="727">
        <v>3.0000000000000001E-3</v>
      </c>
      <c r="AQ483" s="725">
        <v>20</v>
      </c>
      <c r="AR483" s="728">
        <v>0.754</v>
      </c>
      <c r="AS483" s="729">
        <v>8</v>
      </c>
      <c r="AT483" s="728">
        <v>1.1000000000000001E-2</v>
      </c>
      <c r="AU483" s="730">
        <v>9</v>
      </c>
      <c r="AV483" s="731">
        <v>0.11800000000000001</v>
      </c>
      <c r="AW483" s="730">
        <v>9</v>
      </c>
      <c r="AX483" s="728">
        <v>0.122</v>
      </c>
      <c r="AY483" s="730">
        <v>8</v>
      </c>
      <c r="AZ483" s="728">
        <v>8.900000000000001E-2</v>
      </c>
      <c r="BA483" s="730">
        <v>7</v>
      </c>
      <c r="BB483" s="733">
        <v>0.11599999999999999</v>
      </c>
      <c r="BC483" s="730">
        <v>4</v>
      </c>
      <c r="BD483" s="6"/>
    </row>
    <row r="484" spans="7:56" s="704" customFormat="1" ht="15">
      <c r="G484" s="1546"/>
      <c r="W484" s="6"/>
      <c r="X484" s="87"/>
      <c r="Y484" s="87"/>
      <c r="Z484" s="739"/>
      <c r="AA484" s="739"/>
      <c r="AB484" s="743"/>
      <c r="AC484" s="108"/>
      <c r="AD484" s="108"/>
      <c r="AE484" s="770" t="s">
        <v>2588</v>
      </c>
      <c r="AF484" s="771" t="s">
        <v>653</v>
      </c>
      <c r="AG484" s="108"/>
      <c r="AH484" s="454" t="s">
        <v>465</v>
      </c>
      <c r="AI484" s="455">
        <v>9619</v>
      </c>
      <c r="AJ484" s="724">
        <v>0.11128526645768025</v>
      </c>
      <c r="AK484" s="725">
        <v>9</v>
      </c>
      <c r="AL484" s="726">
        <v>41108</v>
      </c>
      <c r="AM484" s="725">
        <v>16</v>
      </c>
      <c r="AN484" s="727">
        <v>0.5109999999999999</v>
      </c>
      <c r="AO484" s="725">
        <v>14</v>
      </c>
      <c r="AP484" s="727">
        <v>3.0000000000000001E-3</v>
      </c>
      <c r="AQ484" s="725">
        <v>20</v>
      </c>
      <c r="AR484" s="728">
        <v>0.81400000000000006</v>
      </c>
      <c r="AS484" s="729">
        <v>9</v>
      </c>
      <c r="AT484" s="728">
        <v>1E-3</v>
      </c>
      <c r="AU484" s="730">
        <v>10</v>
      </c>
      <c r="AV484" s="731">
        <v>0.17699999999999999</v>
      </c>
      <c r="AW484" s="730">
        <v>8</v>
      </c>
      <c r="AX484" s="728">
        <v>8.3000000000000004E-2</v>
      </c>
      <c r="AY484" s="730">
        <v>9</v>
      </c>
      <c r="AZ484" s="728">
        <v>5.7000000000000002E-2</v>
      </c>
      <c r="BA484" s="730">
        <v>9</v>
      </c>
      <c r="BB484" s="733">
        <v>7.2999999999999995E-2</v>
      </c>
      <c r="BC484" s="730">
        <v>2</v>
      </c>
      <c r="BD484" s="6"/>
    </row>
    <row r="485" spans="7:56" s="704" customFormat="1" ht="15">
      <c r="G485" s="1546"/>
      <c r="W485" s="6"/>
      <c r="X485" s="87"/>
      <c r="Y485" s="87"/>
      <c r="Z485" s="739"/>
      <c r="AA485" s="739"/>
      <c r="AB485" s="743"/>
      <c r="AC485" s="108"/>
      <c r="AD485" s="108"/>
      <c r="AE485" s="770" t="s">
        <v>1310</v>
      </c>
      <c r="AF485" s="771" t="s">
        <v>1450</v>
      </c>
      <c r="AG485" s="108"/>
      <c r="AH485" s="454" t="s">
        <v>465</v>
      </c>
      <c r="AI485" s="455">
        <v>9620</v>
      </c>
      <c r="AJ485" s="724">
        <v>0.11128526645768025</v>
      </c>
      <c r="AK485" s="725">
        <v>9</v>
      </c>
      <c r="AL485" s="726">
        <v>41108</v>
      </c>
      <c r="AM485" s="725">
        <v>16</v>
      </c>
      <c r="AN485" s="727">
        <v>0.5109999999999999</v>
      </c>
      <c r="AO485" s="725">
        <v>14</v>
      </c>
      <c r="AP485" s="727">
        <v>3.0000000000000001E-3</v>
      </c>
      <c r="AQ485" s="725">
        <v>20</v>
      </c>
      <c r="AR485" s="728">
        <v>0.88900000000000001</v>
      </c>
      <c r="AS485" s="729">
        <v>10</v>
      </c>
      <c r="AT485" s="728">
        <v>0</v>
      </c>
      <c r="AU485" s="730">
        <v>10</v>
      </c>
      <c r="AV485" s="731">
        <v>0.20100000000000001</v>
      </c>
      <c r="AW485" s="730">
        <v>8</v>
      </c>
      <c r="AX485" s="728">
        <v>0.156</v>
      </c>
      <c r="AY485" s="730">
        <v>8</v>
      </c>
      <c r="AZ485" s="728">
        <v>4.4000000000000004E-2</v>
      </c>
      <c r="BA485" s="730">
        <v>9</v>
      </c>
      <c r="BB485" s="733">
        <v>8.199999999999999E-2</v>
      </c>
      <c r="BC485" s="730">
        <v>3</v>
      </c>
      <c r="BD485" s="6"/>
    </row>
    <row r="486" spans="7:56" s="704" customFormat="1" ht="15">
      <c r="G486" s="1546"/>
      <c r="W486" s="6"/>
      <c r="X486" s="87"/>
      <c r="Y486" s="87"/>
      <c r="Z486" s="739"/>
      <c r="AA486" s="739"/>
      <c r="AB486" s="743"/>
      <c r="AC486" s="108"/>
      <c r="AD486" s="108"/>
      <c r="AE486" s="770" t="s">
        <v>2589</v>
      </c>
      <c r="AF486" s="771" t="s">
        <v>653</v>
      </c>
      <c r="AG486" s="108"/>
      <c r="AH486" s="454" t="s">
        <v>466</v>
      </c>
      <c r="AI486" s="455">
        <v>9666</v>
      </c>
      <c r="AJ486" s="735">
        <v>5.8544984933275937E-2</v>
      </c>
      <c r="AK486" s="730">
        <v>21</v>
      </c>
      <c r="AL486" s="736">
        <v>40401</v>
      </c>
      <c r="AM486" s="729">
        <v>16</v>
      </c>
      <c r="AN486" s="737">
        <v>0.45200000000000001</v>
      </c>
      <c r="AO486" s="729">
        <v>10</v>
      </c>
      <c r="AP486" s="728">
        <v>4.8000000000000001E-2</v>
      </c>
      <c r="AQ486" s="738">
        <v>16</v>
      </c>
      <c r="AR486" s="728">
        <v>0.82200000000000006</v>
      </c>
      <c r="AS486" s="729">
        <v>9</v>
      </c>
      <c r="AT486" s="728">
        <v>6.0000000000000001E-3</v>
      </c>
      <c r="AU486" s="730">
        <v>10</v>
      </c>
      <c r="AV486" s="731">
        <v>0.20699999999999999</v>
      </c>
      <c r="AW486" s="730">
        <v>8</v>
      </c>
      <c r="AX486" s="728">
        <v>9.4E-2</v>
      </c>
      <c r="AY486" s="730">
        <v>9</v>
      </c>
      <c r="AZ486" s="728">
        <v>7.2000000000000008E-2</v>
      </c>
      <c r="BA486" s="730">
        <v>8</v>
      </c>
      <c r="BB486" s="733">
        <v>8.5999999999999993E-2</v>
      </c>
      <c r="BC486" s="730">
        <v>3</v>
      </c>
      <c r="BD486" s="6"/>
    </row>
    <row r="487" spans="7:56" s="704" customFormat="1" ht="15">
      <c r="G487" s="1546"/>
      <c r="W487" s="6"/>
      <c r="X487" s="87"/>
      <c r="Y487" s="87"/>
      <c r="Z487" s="739"/>
      <c r="AA487" s="739"/>
      <c r="AB487" s="743"/>
      <c r="AC487" s="108"/>
      <c r="AD487" s="108"/>
      <c r="AE487" s="770" t="s">
        <v>1311</v>
      </c>
      <c r="AF487" s="771" t="s">
        <v>653</v>
      </c>
      <c r="AG487" s="108"/>
      <c r="AH487" s="454" t="s">
        <v>466</v>
      </c>
      <c r="AI487" s="455">
        <v>9667</v>
      </c>
      <c r="AJ487" s="735">
        <v>5.8544984933275937E-2</v>
      </c>
      <c r="AK487" s="730">
        <v>21</v>
      </c>
      <c r="AL487" s="736">
        <v>40401</v>
      </c>
      <c r="AM487" s="729">
        <v>16</v>
      </c>
      <c r="AN487" s="737">
        <v>0.45200000000000001</v>
      </c>
      <c r="AO487" s="729">
        <v>10</v>
      </c>
      <c r="AP487" s="728">
        <v>4.8000000000000001E-2</v>
      </c>
      <c r="AQ487" s="738">
        <v>16</v>
      </c>
      <c r="AR487" s="728">
        <v>0.495</v>
      </c>
      <c r="AS487" s="729">
        <v>6</v>
      </c>
      <c r="AT487" s="728">
        <v>0</v>
      </c>
      <c r="AU487" s="730">
        <v>10</v>
      </c>
      <c r="AV487" s="731">
        <v>0.15</v>
      </c>
      <c r="AW487" s="730">
        <v>9</v>
      </c>
      <c r="AX487" s="728">
        <v>9.9000000000000005E-2</v>
      </c>
      <c r="AY487" s="730">
        <v>9</v>
      </c>
      <c r="AZ487" s="728">
        <v>5.4000000000000006E-2</v>
      </c>
      <c r="BA487" s="730">
        <v>9</v>
      </c>
      <c r="BB487" s="733">
        <v>0.17899999999999999</v>
      </c>
      <c r="BC487" s="730">
        <v>5</v>
      </c>
      <c r="BD487" s="6"/>
    </row>
    <row r="488" spans="7:56" s="704" customFormat="1" ht="15">
      <c r="G488" s="1546"/>
      <c r="W488" s="6"/>
      <c r="X488" s="87"/>
      <c r="Y488" s="87"/>
      <c r="Z488" s="739"/>
      <c r="AA488" s="739"/>
      <c r="AB488" s="743"/>
      <c r="AC488" s="108"/>
      <c r="AD488" s="108"/>
      <c r="AE488" s="770" t="s">
        <v>1312</v>
      </c>
      <c r="AF488" s="771" t="s">
        <v>653</v>
      </c>
      <c r="AG488" s="108"/>
      <c r="AH488" s="454" t="s">
        <v>466</v>
      </c>
      <c r="AI488" s="455">
        <v>9668</v>
      </c>
      <c r="AJ488" s="735">
        <v>5.8544984933275937E-2</v>
      </c>
      <c r="AK488" s="730">
        <v>21</v>
      </c>
      <c r="AL488" s="736">
        <v>40401</v>
      </c>
      <c r="AM488" s="729">
        <v>16</v>
      </c>
      <c r="AN488" s="737">
        <v>0.45200000000000001</v>
      </c>
      <c r="AO488" s="729">
        <v>10</v>
      </c>
      <c r="AP488" s="728">
        <v>4.8000000000000001E-2</v>
      </c>
      <c r="AQ488" s="738">
        <v>16</v>
      </c>
      <c r="AR488" s="728">
        <v>0.55799999999999994</v>
      </c>
      <c r="AS488" s="729">
        <v>6</v>
      </c>
      <c r="AT488" s="728">
        <v>2.5000000000000001E-2</v>
      </c>
      <c r="AU488" s="730">
        <v>8</v>
      </c>
      <c r="AV488" s="731">
        <v>0.28699999999999998</v>
      </c>
      <c r="AW488" s="730">
        <v>7</v>
      </c>
      <c r="AX488" s="728">
        <v>0.28199999999999997</v>
      </c>
      <c r="AY488" s="730">
        <v>6</v>
      </c>
      <c r="AZ488" s="728">
        <v>5.5999999999999994E-2</v>
      </c>
      <c r="BA488" s="730">
        <v>9</v>
      </c>
      <c r="BB488" s="733">
        <v>0.10300000000000001</v>
      </c>
      <c r="BC488" s="730">
        <v>3</v>
      </c>
      <c r="BD488" s="6"/>
    </row>
    <row r="489" spans="7:56" s="704" customFormat="1" ht="15">
      <c r="G489" s="1546"/>
      <c r="W489" s="6"/>
      <c r="X489" s="87"/>
      <c r="Y489" s="87"/>
      <c r="Z489" s="739"/>
      <c r="AA489" s="739"/>
      <c r="AB489" s="743"/>
      <c r="AC489" s="108"/>
      <c r="AD489" s="108"/>
      <c r="AE489" s="770" t="s">
        <v>1313</v>
      </c>
      <c r="AF489" s="771" t="s">
        <v>653</v>
      </c>
      <c r="AG489" s="108"/>
      <c r="AH489" s="454" t="s">
        <v>466</v>
      </c>
      <c r="AI489" s="455">
        <v>9669</v>
      </c>
      <c r="AJ489" s="735">
        <v>5.8544984933275937E-2</v>
      </c>
      <c r="AK489" s="730">
        <v>21</v>
      </c>
      <c r="AL489" s="736">
        <v>40401</v>
      </c>
      <c r="AM489" s="729">
        <v>16</v>
      </c>
      <c r="AN489" s="737">
        <v>0.45200000000000001</v>
      </c>
      <c r="AO489" s="729">
        <v>10</v>
      </c>
      <c r="AP489" s="728">
        <v>4.8000000000000001E-2</v>
      </c>
      <c r="AQ489" s="738">
        <v>16</v>
      </c>
      <c r="AR489" s="728">
        <v>0.73299999999999998</v>
      </c>
      <c r="AS489" s="729">
        <v>8</v>
      </c>
      <c r="AT489" s="728">
        <v>1.2000000000000002E-2</v>
      </c>
      <c r="AU489" s="730">
        <v>9</v>
      </c>
      <c r="AV489" s="731">
        <v>0.16600000000000001</v>
      </c>
      <c r="AW489" s="730">
        <v>8</v>
      </c>
      <c r="AX489" s="728">
        <v>0.105</v>
      </c>
      <c r="AY489" s="730">
        <v>9</v>
      </c>
      <c r="AZ489" s="728">
        <v>4.4000000000000004E-2</v>
      </c>
      <c r="BA489" s="730">
        <v>9</v>
      </c>
      <c r="BB489" s="733">
        <v>0.13100000000000001</v>
      </c>
      <c r="BC489" s="730">
        <v>4</v>
      </c>
      <c r="BD489" s="6"/>
    </row>
    <row r="490" spans="7:56" s="704" customFormat="1" ht="15">
      <c r="G490" s="1546"/>
      <c r="W490" s="6"/>
      <c r="X490" s="87"/>
      <c r="Y490" s="87"/>
      <c r="Z490" s="739"/>
      <c r="AA490" s="739"/>
      <c r="AB490" s="743"/>
      <c r="AC490" s="108"/>
      <c r="AD490" s="108"/>
      <c r="AE490" s="770" t="s">
        <v>1314</v>
      </c>
      <c r="AF490" s="771" t="s">
        <v>653</v>
      </c>
      <c r="AG490" s="108"/>
      <c r="AH490" s="454" t="s">
        <v>466</v>
      </c>
      <c r="AI490" s="455">
        <v>9670</v>
      </c>
      <c r="AJ490" s="735">
        <v>5.8544984933275937E-2</v>
      </c>
      <c r="AK490" s="730">
        <v>21</v>
      </c>
      <c r="AL490" s="736">
        <v>40401</v>
      </c>
      <c r="AM490" s="729">
        <v>16</v>
      </c>
      <c r="AN490" s="737">
        <v>0.45200000000000001</v>
      </c>
      <c r="AO490" s="729">
        <v>10</v>
      </c>
      <c r="AP490" s="728">
        <v>4.8000000000000001E-2</v>
      </c>
      <c r="AQ490" s="738">
        <v>16</v>
      </c>
      <c r="AR490" s="728">
        <v>0.92</v>
      </c>
      <c r="AS490" s="729">
        <v>10</v>
      </c>
      <c r="AT490" s="728">
        <v>4.4999999999999998E-2</v>
      </c>
      <c r="AU490" s="730">
        <v>6</v>
      </c>
      <c r="AV490" s="731">
        <v>0.20800000000000002</v>
      </c>
      <c r="AW490" s="730">
        <v>8</v>
      </c>
      <c r="AX490" s="728">
        <v>0.20199999999999999</v>
      </c>
      <c r="AY490" s="730">
        <v>7</v>
      </c>
      <c r="AZ490" s="728">
        <v>7.5999999999999998E-2</v>
      </c>
      <c r="BA490" s="730">
        <v>8</v>
      </c>
      <c r="BB490" s="733">
        <v>7.2000000000000008E-2</v>
      </c>
      <c r="BC490" s="730">
        <v>2</v>
      </c>
      <c r="BD490" s="6"/>
    </row>
    <row r="491" spans="7:56" s="704" customFormat="1" ht="15">
      <c r="G491" s="1546"/>
      <c r="W491" s="6"/>
      <c r="X491" s="87"/>
      <c r="Y491" s="87"/>
      <c r="Z491" s="739"/>
      <c r="AA491" s="739"/>
      <c r="AB491" s="743"/>
      <c r="AC491" s="108"/>
      <c r="AD491" s="108"/>
      <c r="AE491" s="770" t="s">
        <v>2793</v>
      </c>
      <c r="AF491" s="771" t="s">
        <v>653</v>
      </c>
      <c r="AG491" s="108"/>
      <c r="AH491" s="454" t="s">
        <v>466</v>
      </c>
      <c r="AI491" s="455">
        <v>9671</v>
      </c>
      <c r="AJ491" s="735">
        <v>5.8544984933275937E-2</v>
      </c>
      <c r="AK491" s="730">
        <v>21</v>
      </c>
      <c r="AL491" s="736">
        <v>40401</v>
      </c>
      <c r="AM491" s="729">
        <v>16</v>
      </c>
      <c r="AN491" s="737">
        <v>0.45200000000000001</v>
      </c>
      <c r="AO491" s="729">
        <v>10</v>
      </c>
      <c r="AP491" s="728">
        <v>4.8000000000000001E-2</v>
      </c>
      <c r="AQ491" s="738">
        <v>16</v>
      </c>
      <c r="AR491" s="728">
        <v>0.82</v>
      </c>
      <c r="AS491" s="729">
        <v>9</v>
      </c>
      <c r="AT491" s="728">
        <v>0</v>
      </c>
      <c r="AU491" s="730">
        <v>10</v>
      </c>
      <c r="AV491" s="731">
        <v>0.20800000000000002</v>
      </c>
      <c r="AW491" s="730">
        <v>8</v>
      </c>
      <c r="AX491" s="728">
        <v>0.151</v>
      </c>
      <c r="AY491" s="730">
        <v>8</v>
      </c>
      <c r="AZ491" s="728">
        <v>0.1</v>
      </c>
      <c r="BA491" s="730">
        <v>7</v>
      </c>
      <c r="BB491" s="733">
        <v>0.08</v>
      </c>
      <c r="BC491" s="730">
        <v>3</v>
      </c>
      <c r="BD491" s="6"/>
    </row>
    <row r="492" spans="7:56" s="704" customFormat="1" ht="15">
      <c r="G492" s="1546"/>
      <c r="W492" s="6"/>
      <c r="X492" s="87"/>
      <c r="Y492" s="87"/>
      <c r="Z492" s="739"/>
      <c r="AA492" s="739"/>
      <c r="AB492" s="743"/>
      <c r="AC492" s="108"/>
      <c r="AD492" s="108"/>
      <c r="AE492" s="770" t="s">
        <v>1315</v>
      </c>
      <c r="AF492" s="771" t="s">
        <v>1450</v>
      </c>
      <c r="AG492" s="108"/>
      <c r="AH492" s="454" t="s">
        <v>467</v>
      </c>
      <c r="AI492" s="455">
        <v>51</v>
      </c>
      <c r="AJ492" s="735">
        <v>7.7398615232443124E-2</v>
      </c>
      <c r="AK492" s="730">
        <v>15</v>
      </c>
      <c r="AL492" s="736">
        <v>36875</v>
      </c>
      <c r="AM492" s="729">
        <v>16</v>
      </c>
      <c r="AN492" s="737">
        <v>0.50800000000000001</v>
      </c>
      <c r="AO492" s="729">
        <v>14</v>
      </c>
      <c r="AP492" s="728">
        <v>0.10400000000000001</v>
      </c>
      <c r="AQ492" s="738">
        <v>10</v>
      </c>
      <c r="AR492" s="728">
        <v>0.7</v>
      </c>
      <c r="AS492" s="729">
        <v>8</v>
      </c>
      <c r="AT492" s="728">
        <v>5.0000000000000001E-3</v>
      </c>
      <c r="AU492" s="730">
        <v>10</v>
      </c>
      <c r="AV492" s="731">
        <v>0.19399999999999998</v>
      </c>
      <c r="AW492" s="730">
        <v>8</v>
      </c>
      <c r="AX492" s="728">
        <v>7.4999999999999997E-2</v>
      </c>
      <c r="AY492" s="730">
        <v>9</v>
      </c>
      <c r="AZ492" s="728">
        <v>7.4999999999999997E-2</v>
      </c>
      <c r="BA492" s="730">
        <v>8</v>
      </c>
      <c r="BB492" s="733">
        <v>0.16699999999999998</v>
      </c>
      <c r="BC492" s="730">
        <v>5</v>
      </c>
      <c r="BD492" s="6"/>
    </row>
    <row r="493" spans="7:56" s="704" customFormat="1" ht="15">
      <c r="G493" s="1546"/>
      <c r="W493" s="6"/>
      <c r="X493" s="87"/>
      <c r="Y493" s="87"/>
      <c r="Z493" s="739"/>
      <c r="AA493" s="739"/>
      <c r="AB493" s="743"/>
      <c r="AC493" s="108"/>
      <c r="AD493" s="108"/>
      <c r="AE493" s="770" t="s">
        <v>1316</v>
      </c>
      <c r="AF493" s="771" t="s">
        <v>653</v>
      </c>
      <c r="AG493" s="108"/>
      <c r="AH493" s="454" t="s">
        <v>467</v>
      </c>
      <c r="AI493" s="455">
        <v>52</v>
      </c>
      <c r="AJ493" s="735">
        <v>7.7398615232443124E-2</v>
      </c>
      <c r="AK493" s="730">
        <v>15</v>
      </c>
      <c r="AL493" s="736">
        <v>36875</v>
      </c>
      <c r="AM493" s="729">
        <v>16</v>
      </c>
      <c r="AN493" s="737">
        <v>0.50800000000000001</v>
      </c>
      <c r="AO493" s="729">
        <v>14</v>
      </c>
      <c r="AP493" s="728">
        <v>0.10400000000000001</v>
      </c>
      <c r="AQ493" s="738">
        <v>10</v>
      </c>
      <c r="AR493" s="728">
        <v>0.61099999999999999</v>
      </c>
      <c r="AS493" s="729">
        <v>7</v>
      </c>
      <c r="AT493" s="728">
        <v>0</v>
      </c>
      <c r="AU493" s="730">
        <v>10</v>
      </c>
      <c r="AV493" s="731">
        <v>0.184</v>
      </c>
      <c r="AW493" s="730">
        <v>8</v>
      </c>
      <c r="AX493" s="728">
        <v>0.121</v>
      </c>
      <c r="AY493" s="730">
        <v>8</v>
      </c>
      <c r="AZ493" s="728">
        <v>4.5999999999999999E-2</v>
      </c>
      <c r="BA493" s="730">
        <v>9</v>
      </c>
      <c r="BB493" s="733">
        <v>0.16200000000000001</v>
      </c>
      <c r="BC493" s="730">
        <v>5</v>
      </c>
      <c r="BD493" s="6"/>
    </row>
    <row r="494" spans="7:56" s="704" customFormat="1" ht="15">
      <c r="G494" s="1546"/>
      <c r="W494" s="6"/>
      <c r="X494" s="87"/>
      <c r="Y494" s="87"/>
      <c r="Z494" s="739"/>
      <c r="AA494" s="739"/>
      <c r="AB494" s="743"/>
      <c r="AC494" s="108"/>
      <c r="AD494" s="108"/>
      <c r="AE494" s="770" t="s">
        <v>1317</v>
      </c>
      <c r="AF494" s="771" t="s">
        <v>1450</v>
      </c>
      <c r="AG494" s="108"/>
      <c r="AH494" s="454" t="s">
        <v>467</v>
      </c>
      <c r="AI494" s="455">
        <v>201</v>
      </c>
      <c r="AJ494" s="735">
        <v>7.7398615232443124E-2</v>
      </c>
      <c r="AK494" s="730">
        <v>15</v>
      </c>
      <c r="AL494" s="736">
        <v>36875</v>
      </c>
      <c r="AM494" s="729">
        <v>16</v>
      </c>
      <c r="AN494" s="737">
        <v>0.50800000000000001</v>
      </c>
      <c r="AO494" s="729">
        <v>14</v>
      </c>
      <c r="AP494" s="728">
        <v>0.10400000000000001</v>
      </c>
      <c r="AQ494" s="738">
        <v>10</v>
      </c>
      <c r="AR494" s="728">
        <v>0.76800000000000002</v>
      </c>
      <c r="AS494" s="729">
        <v>9</v>
      </c>
      <c r="AT494" s="728">
        <v>6.0000000000000001E-3</v>
      </c>
      <c r="AU494" s="730">
        <v>10</v>
      </c>
      <c r="AV494" s="731">
        <v>0.18100000000000002</v>
      </c>
      <c r="AW494" s="730">
        <v>8</v>
      </c>
      <c r="AX494" s="728">
        <v>0.13200000000000001</v>
      </c>
      <c r="AY494" s="730">
        <v>8</v>
      </c>
      <c r="AZ494" s="728">
        <v>3.7999999999999999E-2</v>
      </c>
      <c r="BA494" s="730">
        <v>9</v>
      </c>
      <c r="BB494" s="733">
        <v>0.158</v>
      </c>
      <c r="BC494" s="730">
        <v>5</v>
      </c>
      <c r="BD494" s="6"/>
    </row>
    <row r="495" spans="7:56" s="704" customFormat="1" ht="15">
      <c r="G495" s="1546"/>
      <c r="W495" s="6"/>
      <c r="X495" s="87"/>
      <c r="Y495" s="87"/>
      <c r="Z495" s="739"/>
      <c r="AA495" s="739"/>
      <c r="AB495" s="743"/>
      <c r="AC495" s="108"/>
      <c r="AD495" s="108"/>
      <c r="AE495" s="770" t="s">
        <v>1318</v>
      </c>
      <c r="AF495" s="771" t="s">
        <v>1450</v>
      </c>
      <c r="AG495" s="108"/>
      <c r="AH495" s="454" t="s">
        <v>467</v>
      </c>
      <c r="AI495" s="455">
        <v>203</v>
      </c>
      <c r="AJ495" s="735">
        <v>7.7398615232443124E-2</v>
      </c>
      <c r="AK495" s="730">
        <v>15</v>
      </c>
      <c r="AL495" s="736">
        <v>36875</v>
      </c>
      <c r="AM495" s="729">
        <v>16</v>
      </c>
      <c r="AN495" s="737">
        <v>0.50800000000000001</v>
      </c>
      <c r="AO495" s="729">
        <v>14</v>
      </c>
      <c r="AP495" s="728">
        <v>0.10400000000000001</v>
      </c>
      <c r="AQ495" s="738">
        <v>10</v>
      </c>
      <c r="AR495" s="728">
        <v>0.65400000000000003</v>
      </c>
      <c r="AS495" s="729">
        <v>7</v>
      </c>
      <c r="AT495" s="728">
        <v>3.0000000000000005E-3</v>
      </c>
      <c r="AU495" s="730">
        <v>10</v>
      </c>
      <c r="AV495" s="731">
        <v>0.182</v>
      </c>
      <c r="AW495" s="730">
        <v>8</v>
      </c>
      <c r="AX495" s="728">
        <v>0.18100000000000002</v>
      </c>
      <c r="AY495" s="730">
        <v>8</v>
      </c>
      <c r="AZ495" s="728">
        <v>0.01</v>
      </c>
      <c r="BA495" s="730">
        <v>10</v>
      </c>
      <c r="BB495" s="733">
        <v>6.8000000000000005E-2</v>
      </c>
      <c r="BC495" s="730">
        <v>2</v>
      </c>
      <c r="BD495" s="6"/>
    </row>
    <row r="496" spans="7:56" s="704" customFormat="1" ht="15">
      <c r="G496" s="1546"/>
      <c r="W496" s="6"/>
      <c r="X496" s="87"/>
      <c r="Y496" s="87"/>
      <c r="Z496" s="739"/>
      <c r="AA496" s="739"/>
      <c r="AB496" s="743"/>
      <c r="AC496" s="108"/>
      <c r="AD496" s="108"/>
      <c r="AE496" s="770" t="s">
        <v>1319</v>
      </c>
      <c r="AF496" s="771" t="s">
        <v>1450</v>
      </c>
      <c r="AG496" s="108"/>
      <c r="AH496" s="454" t="s">
        <v>467</v>
      </c>
      <c r="AI496" s="455">
        <v>204</v>
      </c>
      <c r="AJ496" s="735">
        <v>7.7398615232443124E-2</v>
      </c>
      <c r="AK496" s="730">
        <v>15</v>
      </c>
      <c r="AL496" s="736">
        <v>36875</v>
      </c>
      <c r="AM496" s="729">
        <v>16</v>
      </c>
      <c r="AN496" s="737">
        <v>0.50800000000000001</v>
      </c>
      <c r="AO496" s="729">
        <v>14</v>
      </c>
      <c r="AP496" s="728">
        <v>0.10400000000000001</v>
      </c>
      <c r="AQ496" s="738">
        <v>10</v>
      </c>
      <c r="AR496" s="728">
        <v>0.86</v>
      </c>
      <c r="AS496" s="729">
        <v>10</v>
      </c>
      <c r="AT496" s="728">
        <v>6.9999999999999993E-3</v>
      </c>
      <c r="AU496" s="730">
        <v>10</v>
      </c>
      <c r="AV496" s="731">
        <v>0.192</v>
      </c>
      <c r="AW496" s="730">
        <v>8</v>
      </c>
      <c r="AX496" s="728">
        <v>0.13699999999999998</v>
      </c>
      <c r="AY496" s="730">
        <v>8</v>
      </c>
      <c r="AZ496" s="728">
        <v>5.9000000000000004E-2</v>
      </c>
      <c r="BA496" s="730">
        <v>8</v>
      </c>
      <c r="BB496" s="733">
        <v>0.11900000000000001</v>
      </c>
      <c r="BC496" s="730">
        <v>4</v>
      </c>
      <c r="BD496" s="6"/>
    </row>
    <row r="497" spans="7:56" s="704" customFormat="1" ht="15">
      <c r="G497" s="1546"/>
      <c r="W497" s="6"/>
      <c r="X497" s="87"/>
      <c r="Y497" s="87"/>
      <c r="Z497" s="739"/>
      <c r="AA497" s="739"/>
      <c r="AB497" s="743"/>
      <c r="AC497" s="108"/>
      <c r="AD497" s="108"/>
      <c r="AE497" s="770" t="s">
        <v>1320</v>
      </c>
      <c r="AF497" s="771" t="s">
        <v>1450</v>
      </c>
      <c r="AG497" s="108"/>
      <c r="AH497" s="454" t="s">
        <v>467</v>
      </c>
      <c r="AI497" s="455">
        <v>205</v>
      </c>
      <c r="AJ497" s="735">
        <v>7.7398615232443124E-2</v>
      </c>
      <c r="AK497" s="730">
        <v>15</v>
      </c>
      <c r="AL497" s="736">
        <v>36875</v>
      </c>
      <c r="AM497" s="729">
        <v>16</v>
      </c>
      <c r="AN497" s="737">
        <v>0.50800000000000001</v>
      </c>
      <c r="AO497" s="729">
        <v>14</v>
      </c>
      <c r="AP497" s="728">
        <v>0.10400000000000001</v>
      </c>
      <c r="AQ497" s="738">
        <v>10</v>
      </c>
      <c r="AR497" s="728">
        <v>0.752</v>
      </c>
      <c r="AS497" s="729">
        <v>8</v>
      </c>
      <c r="AT497" s="728">
        <v>1.3000000000000001E-2</v>
      </c>
      <c r="AU497" s="730">
        <v>9</v>
      </c>
      <c r="AV497" s="731">
        <v>0.32600000000000001</v>
      </c>
      <c r="AW497" s="730">
        <v>6</v>
      </c>
      <c r="AX497" s="728">
        <v>0.24199999999999999</v>
      </c>
      <c r="AY497" s="730">
        <v>7</v>
      </c>
      <c r="AZ497" s="728">
        <v>0.109</v>
      </c>
      <c r="BA497" s="730">
        <v>7</v>
      </c>
      <c r="BB497" s="733">
        <v>9.0999999999999998E-2</v>
      </c>
      <c r="BC497" s="730">
        <v>3</v>
      </c>
      <c r="BD497" s="6"/>
    </row>
    <row r="498" spans="7:56" s="704" customFormat="1" ht="15">
      <c r="G498" s="1546"/>
      <c r="W498" s="6"/>
      <c r="X498" s="87"/>
      <c r="Y498" s="87"/>
      <c r="Z498" s="739"/>
      <c r="AA498" s="739"/>
      <c r="AB498" s="743"/>
      <c r="AC498" s="108"/>
      <c r="AD498" s="108"/>
      <c r="AE498" s="770" t="s">
        <v>1321</v>
      </c>
      <c r="AF498" s="771" t="s">
        <v>1450</v>
      </c>
      <c r="AG498" s="108"/>
      <c r="AH498" s="454" t="s">
        <v>467</v>
      </c>
      <c r="AI498" s="455">
        <v>206</v>
      </c>
      <c r="AJ498" s="735">
        <v>7.7398615232443124E-2</v>
      </c>
      <c r="AK498" s="730">
        <v>15</v>
      </c>
      <c r="AL498" s="736">
        <v>36875</v>
      </c>
      <c r="AM498" s="729">
        <v>16</v>
      </c>
      <c r="AN498" s="737">
        <v>0.50800000000000001</v>
      </c>
      <c r="AO498" s="729">
        <v>14</v>
      </c>
      <c r="AP498" s="728">
        <v>0.10400000000000001</v>
      </c>
      <c r="AQ498" s="738">
        <v>10</v>
      </c>
      <c r="AR498" s="728">
        <v>0.73499999999999999</v>
      </c>
      <c r="AS498" s="729">
        <v>8</v>
      </c>
      <c r="AT498" s="728">
        <v>0</v>
      </c>
      <c r="AU498" s="730">
        <v>10</v>
      </c>
      <c r="AV498" s="731">
        <v>0.17600000000000002</v>
      </c>
      <c r="AW498" s="730">
        <v>8</v>
      </c>
      <c r="AX498" s="728">
        <v>0.185</v>
      </c>
      <c r="AY498" s="730">
        <v>7</v>
      </c>
      <c r="AZ498" s="728">
        <v>9.3000000000000013E-2</v>
      </c>
      <c r="BA498" s="730">
        <v>7</v>
      </c>
      <c r="BB498" s="733">
        <v>0.11699999999999999</v>
      </c>
      <c r="BC498" s="730">
        <v>4</v>
      </c>
      <c r="BD498" s="6"/>
    </row>
    <row r="499" spans="7:56" s="704" customFormat="1" ht="15">
      <c r="G499" s="1546"/>
      <c r="W499" s="6"/>
      <c r="X499" s="87"/>
      <c r="Y499" s="87"/>
      <c r="Z499" s="739"/>
      <c r="AA499" s="739"/>
      <c r="AB499" s="743"/>
      <c r="AC499" s="108"/>
      <c r="AD499" s="108"/>
      <c r="AE499" s="770" t="s">
        <v>2590</v>
      </c>
      <c r="AF499" s="771" t="s">
        <v>653</v>
      </c>
      <c r="AG499" s="108"/>
      <c r="AH499" s="454" t="s">
        <v>467</v>
      </c>
      <c r="AI499" s="455">
        <v>207</v>
      </c>
      <c r="AJ499" s="735">
        <v>7.7398615232443124E-2</v>
      </c>
      <c r="AK499" s="730">
        <v>15</v>
      </c>
      <c r="AL499" s="736">
        <v>36875</v>
      </c>
      <c r="AM499" s="729">
        <v>16</v>
      </c>
      <c r="AN499" s="737">
        <v>0.50800000000000001</v>
      </c>
      <c r="AO499" s="729">
        <v>14</v>
      </c>
      <c r="AP499" s="728">
        <v>0.10400000000000001</v>
      </c>
      <c r="AQ499" s="738">
        <v>10</v>
      </c>
      <c r="AR499" s="728">
        <v>0.77400000000000002</v>
      </c>
      <c r="AS499" s="729">
        <v>9</v>
      </c>
      <c r="AT499" s="728">
        <v>2.5999999999999995E-2</v>
      </c>
      <c r="AU499" s="730">
        <v>8</v>
      </c>
      <c r="AV499" s="731">
        <v>0.11900000000000001</v>
      </c>
      <c r="AW499" s="730">
        <v>9</v>
      </c>
      <c r="AX499" s="728">
        <v>0.14499999999999999</v>
      </c>
      <c r="AY499" s="730">
        <v>8</v>
      </c>
      <c r="AZ499" s="728">
        <v>3.5000000000000003E-2</v>
      </c>
      <c r="BA499" s="730">
        <v>9</v>
      </c>
      <c r="BB499" s="733">
        <v>9.4E-2</v>
      </c>
      <c r="BC499" s="730">
        <v>3</v>
      </c>
      <c r="BD499" s="6"/>
    </row>
    <row r="500" spans="7:56" s="704" customFormat="1" ht="15">
      <c r="G500" s="1546"/>
      <c r="W500" s="6"/>
      <c r="X500" s="87"/>
      <c r="Y500" s="87"/>
      <c r="Z500" s="739"/>
      <c r="AA500" s="739"/>
      <c r="AB500" s="743"/>
      <c r="AC500" s="108"/>
      <c r="AD500" s="108"/>
      <c r="AE500" s="770" t="s">
        <v>2591</v>
      </c>
      <c r="AF500" s="771" t="s">
        <v>1450</v>
      </c>
      <c r="AG500" s="108"/>
      <c r="AH500" s="454" t="s">
        <v>467</v>
      </c>
      <c r="AI500" s="455">
        <v>208</v>
      </c>
      <c r="AJ500" s="735">
        <v>7.7398615232443124E-2</v>
      </c>
      <c r="AK500" s="730">
        <v>15</v>
      </c>
      <c r="AL500" s="736">
        <v>36875</v>
      </c>
      <c r="AM500" s="729">
        <v>16</v>
      </c>
      <c r="AN500" s="737">
        <v>0.50800000000000001</v>
      </c>
      <c r="AO500" s="729">
        <v>14</v>
      </c>
      <c r="AP500" s="728">
        <v>0.10400000000000001</v>
      </c>
      <c r="AQ500" s="738">
        <v>10</v>
      </c>
      <c r="AR500" s="728">
        <v>0.69599999999999995</v>
      </c>
      <c r="AS500" s="729">
        <v>8</v>
      </c>
      <c r="AT500" s="728">
        <v>4.0000000000000001E-3</v>
      </c>
      <c r="AU500" s="730">
        <v>10</v>
      </c>
      <c r="AV500" s="731">
        <v>0.27899999999999997</v>
      </c>
      <c r="AW500" s="730">
        <v>7</v>
      </c>
      <c r="AX500" s="728">
        <v>0.28999999999999998</v>
      </c>
      <c r="AY500" s="730">
        <v>6</v>
      </c>
      <c r="AZ500" s="728">
        <v>0.03</v>
      </c>
      <c r="BA500" s="730">
        <v>9</v>
      </c>
      <c r="BB500" s="733">
        <v>0.01</v>
      </c>
      <c r="BC500" s="730">
        <v>1</v>
      </c>
      <c r="BD500" s="6"/>
    </row>
    <row r="501" spans="7:56" s="704" customFormat="1" ht="15">
      <c r="G501" s="1546"/>
      <c r="W501" s="6"/>
      <c r="X501" s="87"/>
      <c r="Y501" s="87"/>
      <c r="Z501" s="739"/>
      <c r="AA501" s="739"/>
      <c r="AB501" s="743"/>
      <c r="AC501" s="108"/>
      <c r="AD501" s="108"/>
      <c r="AE501" s="770" t="s">
        <v>2592</v>
      </c>
      <c r="AF501" s="771" t="s">
        <v>1450</v>
      </c>
      <c r="AG501" s="108"/>
      <c r="AH501" s="454" t="s">
        <v>467</v>
      </c>
      <c r="AI501" s="455">
        <v>209</v>
      </c>
      <c r="AJ501" s="735">
        <v>7.7398615232443124E-2</v>
      </c>
      <c r="AK501" s="730">
        <v>15</v>
      </c>
      <c r="AL501" s="736">
        <v>36875</v>
      </c>
      <c r="AM501" s="729">
        <v>16</v>
      </c>
      <c r="AN501" s="737">
        <v>0.50800000000000001</v>
      </c>
      <c r="AO501" s="729">
        <v>14</v>
      </c>
      <c r="AP501" s="728">
        <v>0.10400000000000001</v>
      </c>
      <c r="AQ501" s="738">
        <v>10</v>
      </c>
      <c r="AR501" s="728">
        <v>0.745</v>
      </c>
      <c r="AS501" s="729">
        <v>8</v>
      </c>
      <c r="AT501" s="728">
        <v>1.1000000000000001E-2</v>
      </c>
      <c r="AU501" s="730">
        <v>9</v>
      </c>
      <c r="AV501" s="731">
        <v>0.32100000000000001</v>
      </c>
      <c r="AW501" s="730">
        <v>6</v>
      </c>
      <c r="AX501" s="728">
        <v>0.34200000000000003</v>
      </c>
      <c r="AY501" s="730">
        <v>5</v>
      </c>
      <c r="AZ501" s="728">
        <v>0.10099999999999999</v>
      </c>
      <c r="BA501" s="730">
        <v>7</v>
      </c>
      <c r="BB501" s="733">
        <v>2.7999999999999997E-2</v>
      </c>
      <c r="BC501" s="730">
        <v>1</v>
      </c>
      <c r="BD501" s="6"/>
    </row>
    <row r="502" spans="7:56" s="704" customFormat="1" ht="15">
      <c r="G502" s="1546"/>
      <c r="W502" s="6"/>
      <c r="X502" s="87"/>
      <c r="Y502" s="87"/>
      <c r="Z502" s="739"/>
      <c r="AA502" s="739"/>
      <c r="AB502" s="743"/>
      <c r="AC502" s="108"/>
      <c r="AD502" s="108"/>
      <c r="AE502" s="770" t="s">
        <v>1322</v>
      </c>
      <c r="AF502" s="771" t="s">
        <v>653</v>
      </c>
      <c r="AG502" s="108"/>
      <c r="AH502" s="454" t="s">
        <v>467</v>
      </c>
      <c r="AI502" s="455">
        <v>210</v>
      </c>
      <c r="AJ502" s="735">
        <v>7.7398615232443124E-2</v>
      </c>
      <c r="AK502" s="730">
        <v>15</v>
      </c>
      <c r="AL502" s="736">
        <v>36875</v>
      </c>
      <c r="AM502" s="729">
        <v>16</v>
      </c>
      <c r="AN502" s="737">
        <v>0.50800000000000001</v>
      </c>
      <c r="AO502" s="729">
        <v>14</v>
      </c>
      <c r="AP502" s="728">
        <v>0.10400000000000001</v>
      </c>
      <c r="AQ502" s="738">
        <v>10</v>
      </c>
      <c r="AR502" s="728">
        <v>0.76</v>
      </c>
      <c r="AS502" s="729">
        <v>9</v>
      </c>
      <c r="AT502" s="728">
        <v>6.0000000000000001E-3</v>
      </c>
      <c r="AU502" s="730">
        <v>10</v>
      </c>
      <c r="AV502" s="731">
        <v>0.32100000000000001</v>
      </c>
      <c r="AW502" s="730">
        <v>6</v>
      </c>
      <c r="AX502" s="728">
        <v>0.33</v>
      </c>
      <c r="AY502" s="730">
        <v>5</v>
      </c>
      <c r="AZ502" s="728">
        <v>0.13699999999999998</v>
      </c>
      <c r="BA502" s="730">
        <v>6</v>
      </c>
      <c r="BB502" s="733">
        <v>3.5000000000000003E-2</v>
      </c>
      <c r="BC502" s="730">
        <v>1</v>
      </c>
      <c r="BD502" s="6"/>
    </row>
    <row r="503" spans="7:56" s="704" customFormat="1" ht="15">
      <c r="G503" s="1546"/>
      <c r="W503" s="6"/>
      <c r="X503" s="87"/>
      <c r="Y503" s="87"/>
      <c r="Z503" s="739"/>
      <c r="AA503" s="739"/>
      <c r="AB503" s="743"/>
      <c r="AC503" s="108"/>
      <c r="AD503" s="108"/>
      <c r="AE503" s="770" t="s">
        <v>1323</v>
      </c>
      <c r="AF503" s="771" t="s">
        <v>653</v>
      </c>
      <c r="AG503" s="108"/>
      <c r="AH503" s="454" t="s">
        <v>468</v>
      </c>
      <c r="AI503" s="455">
        <v>9701</v>
      </c>
      <c r="AJ503" s="735">
        <v>5.2826691380908251E-2</v>
      </c>
      <c r="AK503" s="730">
        <v>21</v>
      </c>
      <c r="AL503" s="736">
        <v>34312</v>
      </c>
      <c r="AM503" s="729">
        <v>18</v>
      </c>
      <c r="AN503" s="737">
        <v>0.63100000000000001</v>
      </c>
      <c r="AO503" s="729">
        <v>18</v>
      </c>
      <c r="AP503" s="728">
        <v>6.0000000000000001E-3</v>
      </c>
      <c r="AQ503" s="738">
        <v>20</v>
      </c>
      <c r="AR503" s="728">
        <v>0.68599999999999994</v>
      </c>
      <c r="AS503" s="729">
        <v>8</v>
      </c>
      <c r="AT503" s="728">
        <v>0</v>
      </c>
      <c r="AU503" s="730">
        <v>10</v>
      </c>
      <c r="AV503" s="731">
        <v>0.376</v>
      </c>
      <c r="AW503" s="730">
        <v>5</v>
      </c>
      <c r="AX503" s="728">
        <v>0.24</v>
      </c>
      <c r="AY503" s="730">
        <v>7</v>
      </c>
      <c r="AZ503" s="728">
        <v>6.0999999999999999E-2</v>
      </c>
      <c r="BA503" s="730">
        <v>8</v>
      </c>
      <c r="BB503" s="733">
        <v>3.1E-2</v>
      </c>
      <c r="BC503" s="730">
        <v>1</v>
      </c>
      <c r="BD503" s="6"/>
    </row>
    <row r="504" spans="7:56" s="704" customFormat="1" ht="15">
      <c r="G504" s="1546"/>
      <c r="W504" s="6"/>
      <c r="X504" s="87"/>
      <c r="Y504" s="87"/>
      <c r="Z504" s="739"/>
      <c r="AA504" s="739"/>
      <c r="AB504" s="743"/>
      <c r="AC504" s="108"/>
      <c r="AD504" s="108"/>
      <c r="AE504" s="770" t="s">
        <v>1324</v>
      </c>
      <c r="AF504" s="771" t="s">
        <v>653</v>
      </c>
      <c r="AG504" s="108"/>
      <c r="AH504" s="454" t="s">
        <v>468</v>
      </c>
      <c r="AI504" s="455">
        <v>9702</v>
      </c>
      <c r="AJ504" s="735">
        <v>5.2826691380908251E-2</v>
      </c>
      <c r="AK504" s="730">
        <v>21</v>
      </c>
      <c r="AL504" s="736">
        <v>34312</v>
      </c>
      <c r="AM504" s="729">
        <v>18</v>
      </c>
      <c r="AN504" s="737">
        <v>0.63100000000000001</v>
      </c>
      <c r="AO504" s="729">
        <v>18</v>
      </c>
      <c r="AP504" s="728">
        <v>6.0000000000000001E-3</v>
      </c>
      <c r="AQ504" s="738">
        <v>20</v>
      </c>
      <c r="AR504" s="728">
        <v>0.68599999999999994</v>
      </c>
      <c r="AS504" s="729">
        <v>8</v>
      </c>
      <c r="AT504" s="728">
        <v>0</v>
      </c>
      <c r="AU504" s="730">
        <v>10</v>
      </c>
      <c r="AV504" s="731">
        <v>0.20199999999999999</v>
      </c>
      <c r="AW504" s="730">
        <v>8</v>
      </c>
      <c r="AX504" s="728">
        <v>0.33299999999999996</v>
      </c>
      <c r="AY504" s="730">
        <v>5</v>
      </c>
      <c r="AZ504" s="728">
        <v>9.3000000000000013E-2</v>
      </c>
      <c r="BA504" s="730">
        <v>7</v>
      </c>
      <c r="BB504" s="733">
        <v>0.1</v>
      </c>
      <c r="BC504" s="730">
        <v>3</v>
      </c>
      <c r="BD504" s="6"/>
    </row>
    <row r="505" spans="7:56" s="704" customFormat="1" ht="15">
      <c r="G505" s="1546"/>
      <c r="W505" s="6"/>
      <c r="X505" s="87"/>
      <c r="Y505" s="87"/>
      <c r="Z505" s="739"/>
      <c r="AA505" s="739"/>
      <c r="AB505" s="743"/>
      <c r="AC505" s="108"/>
      <c r="AD505" s="108"/>
      <c r="AE505" s="770" t="s">
        <v>1325</v>
      </c>
      <c r="AF505" s="771" t="s">
        <v>1450</v>
      </c>
      <c r="AG505" s="108"/>
      <c r="AH505" s="454" t="s">
        <v>468</v>
      </c>
      <c r="AI505" s="455">
        <v>9703</v>
      </c>
      <c r="AJ505" s="735">
        <v>5.2826691380908251E-2</v>
      </c>
      <c r="AK505" s="730">
        <v>21</v>
      </c>
      <c r="AL505" s="736">
        <v>34312</v>
      </c>
      <c r="AM505" s="729">
        <v>18</v>
      </c>
      <c r="AN505" s="737">
        <v>0.63100000000000001</v>
      </c>
      <c r="AO505" s="729">
        <v>18</v>
      </c>
      <c r="AP505" s="728">
        <v>6.0000000000000001E-3</v>
      </c>
      <c r="AQ505" s="738">
        <v>20</v>
      </c>
      <c r="AR505" s="728">
        <v>0.80099999999999993</v>
      </c>
      <c r="AS505" s="729">
        <v>9</v>
      </c>
      <c r="AT505" s="728">
        <v>1.4999999999999999E-2</v>
      </c>
      <c r="AU505" s="730">
        <v>9</v>
      </c>
      <c r="AV505" s="731">
        <v>0.20100000000000001</v>
      </c>
      <c r="AW505" s="730">
        <v>8</v>
      </c>
      <c r="AX505" s="728">
        <v>0.30599999999999999</v>
      </c>
      <c r="AY505" s="730">
        <v>5</v>
      </c>
      <c r="AZ505" s="728">
        <v>0.14699999999999999</v>
      </c>
      <c r="BA505" s="730">
        <v>6</v>
      </c>
      <c r="BB505" s="733">
        <v>1.4999999999999999E-2</v>
      </c>
      <c r="BC505" s="730">
        <v>1</v>
      </c>
      <c r="BD505" s="6"/>
    </row>
    <row r="506" spans="7:56" s="704" customFormat="1" ht="15">
      <c r="G506" s="1546"/>
      <c r="W506" s="6"/>
      <c r="X506" s="87"/>
      <c r="Y506" s="87"/>
      <c r="Z506" s="739"/>
      <c r="AA506" s="739"/>
      <c r="AB506" s="743"/>
      <c r="AC506" s="108"/>
      <c r="AD506" s="108"/>
      <c r="AE506" s="770" t="s">
        <v>1326</v>
      </c>
      <c r="AF506" s="771" t="s">
        <v>1450</v>
      </c>
      <c r="AG506" s="108"/>
      <c r="AH506" s="454" t="s">
        <v>469</v>
      </c>
      <c r="AI506" s="455">
        <v>49</v>
      </c>
      <c r="AJ506" s="724">
        <v>0.13769941225860621</v>
      </c>
      <c r="AK506" s="725">
        <v>6</v>
      </c>
      <c r="AL506" s="726">
        <v>42125</v>
      </c>
      <c r="AM506" s="725">
        <v>14</v>
      </c>
      <c r="AN506" s="727">
        <v>0.48799999999999999</v>
      </c>
      <c r="AO506" s="725">
        <v>12</v>
      </c>
      <c r="AP506" s="727">
        <v>5.5E-2</v>
      </c>
      <c r="AQ506" s="725">
        <v>16</v>
      </c>
      <c r="AR506" s="728">
        <v>0.77900000000000003</v>
      </c>
      <c r="AS506" s="729">
        <v>9</v>
      </c>
      <c r="AT506" s="728">
        <v>9.0000000000000011E-3</v>
      </c>
      <c r="AU506" s="730">
        <v>10</v>
      </c>
      <c r="AV506" s="731">
        <v>0.23899999999999999</v>
      </c>
      <c r="AW506" s="730">
        <v>7</v>
      </c>
      <c r="AX506" s="728">
        <v>0.20899999999999999</v>
      </c>
      <c r="AY506" s="730">
        <v>7</v>
      </c>
      <c r="AZ506" s="728">
        <v>9.0999999999999998E-2</v>
      </c>
      <c r="BA506" s="730">
        <v>7</v>
      </c>
      <c r="BB506" s="733">
        <v>0.10199999999999999</v>
      </c>
      <c r="BC506" s="730">
        <v>3</v>
      </c>
      <c r="BD506" s="6"/>
    </row>
    <row r="507" spans="7:56" s="704" customFormat="1" ht="15">
      <c r="G507" s="1546"/>
      <c r="W507" s="6"/>
      <c r="X507" s="87"/>
      <c r="Y507" s="87"/>
      <c r="Z507" s="739"/>
      <c r="AA507" s="739"/>
      <c r="AB507" s="743"/>
      <c r="AC507" s="108"/>
      <c r="AD507" s="108"/>
      <c r="AE507" s="770" t="s">
        <v>1327</v>
      </c>
      <c r="AF507" s="771" t="s">
        <v>653</v>
      </c>
      <c r="AG507" s="108"/>
      <c r="AH507" s="454" t="s">
        <v>469</v>
      </c>
      <c r="AI507" s="455">
        <v>304</v>
      </c>
      <c r="AJ507" s="724">
        <v>0.13769941225860621</v>
      </c>
      <c r="AK507" s="725">
        <v>6</v>
      </c>
      <c r="AL507" s="726">
        <v>42125</v>
      </c>
      <c r="AM507" s="725">
        <v>14</v>
      </c>
      <c r="AN507" s="727">
        <v>0.48799999999999999</v>
      </c>
      <c r="AO507" s="725">
        <v>12</v>
      </c>
      <c r="AP507" s="727">
        <v>5.5E-2</v>
      </c>
      <c r="AQ507" s="725">
        <v>16</v>
      </c>
      <c r="AR507" s="728">
        <v>0.72</v>
      </c>
      <c r="AS507" s="729">
        <v>8</v>
      </c>
      <c r="AT507" s="728">
        <v>0</v>
      </c>
      <c r="AU507" s="730">
        <v>10</v>
      </c>
      <c r="AV507" s="731">
        <v>0.31900000000000001</v>
      </c>
      <c r="AW507" s="730">
        <v>6</v>
      </c>
      <c r="AX507" s="728">
        <v>0.113</v>
      </c>
      <c r="AY507" s="730">
        <v>9</v>
      </c>
      <c r="AZ507" s="728">
        <v>7.9000000000000001E-2</v>
      </c>
      <c r="BA507" s="730">
        <v>8</v>
      </c>
      <c r="BB507" s="733">
        <v>7.0999999999999994E-2</v>
      </c>
      <c r="BC507" s="730">
        <v>2</v>
      </c>
      <c r="BD507" s="6"/>
    </row>
    <row r="508" spans="7:56" s="704" customFormat="1" ht="15">
      <c r="G508" s="1546"/>
      <c r="W508" s="6"/>
      <c r="X508" s="87"/>
      <c r="Y508" s="87"/>
      <c r="Z508" s="739"/>
      <c r="AA508" s="739"/>
      <c r="AB508" s="743"/>
      <c r="AC508" s="108"/>
      <c r="AD508" s="108"/>
      <c r="AE508" s="770" t="s">
        <v>1328</v>
      </c>
      <c r="AF508" s="771" t="s">
        <v>1450</v>
      </c>
      <c r="AG508" s="108"/>
      <c r="AH508" s="454" t="s">
        <v>469</v>
      </c>
      <c r="AI508" s="455">
        <v>305</v>
      </c>
      <c r="AJ508" s="724">
        <v>0.13769941225860621</v>
      </c>
      <c r="AK508" s="725">
        <v>6</v>
      </c>
      <c r="AL508" s="726">
        <v>42125</v>
      </c>
      <c r="AM508" s="725">
        <v>14</v>
      </c>
      <c r="AN508" s="727">
        <v>0.48799999999999999</v>
      </c>
      <c r="AO508" s="725">
        <v>12</v>
      </c>
      <c r="AP508" s="727">
        <v>5.5E-2</v>
      </c>
      <c r="AQ508" s="725">
        <v>16</v>
      </c>
      <c r="AR508" s="728">
        <v>0.88500000000000001</v>
      </c>
      <c r="AS508" s="729">
        <v>10</v>
      </c>
      <c r="AT508" s="728">
        <v>2.2000000000000002E-2</v>
      </c>
      <c r="AU508" s="730">
        <v>8</v>
      </c>
      <c r="AV508" s="731">
        <v>0.20499999999999999</v>
      </c>
      <c r="AW508" s="730">
        <v>8</v>
      </c>
      <c r="AX508" s="728">
        <v>0.14899999999999999</v>
      </c>
      <c r="AY508" s="730">
        <v>8</v>
      </c>
      <c r="AZ508" s="728">
        <v>8.3000000000000004E-2</v>
      </c>
      <c r="BA508" s="730">
        <v>8</v>
      </c>
      <c r="BB508" s="733">
        <v>7.0999999999999994E-2</v>
      </c>
      <c r="BC508" s="730">
        <v>2</v>
      </c>
      <c r="BD508" s="6"/>
    </row>
    <row r="509" spans="7:56" s="704" customFormat="1" ht="15">
      <c r="G509" s="1546"/>
      <c r="W509" s="6"/>
      <c r="X509" s="87"/>
      <c r="Y509" s="87"/>
      <c r="Z509" s="739"/>
      <c r="AA509" s="739"/>
      <c r="AB509" s="743"/>
      <c r="AC509" s="108"/>
      <c r="AD509" s="108"/>
      <c r="AE509" s="770" t="s">
        <v>2794</v>
      </c>
      <c r="AF509" s="771" t="s">
        <v>653</v>
      </c>
      <c r="AG509" s="108"/>
      <c r="AH509" s="454" t="s">
        <v>469</v>
      </c>
      <c r="AI509" s="455">
        <v>307</v>
      </c>
      <c r="AJ509" s="724">
        <v>0.13769941225860621</v>
      </c>
      <c r="AK509" s="725">
        <v>6</v>
      </c>
      <c r="AL509" s="726">
        <v>42125</v>
      </c>
      <c r="AM509" s="725">
        <v>14</v>
      </c>
      <c r="AN509" s="727">
        <v>0.48799999999999999</v>
      </c>
      <c r="AO509" s="725">
        <v>12</v>
      </c>
      <c r="AP509" s="727">
        <v>5.5E-2</v>
      </c>
      <c r="AQ509" s="725">
        <v>16</v>
      </c>
      <c r="AR509" s="728">
        <v>0.76400000000000001</v>
      </c>
      <c r="AS509" s="729">
        <v>9</v>
      </c>
      <c r="AT509" s="728">
        <v>6.0000000000000001E-3</v>
      </c>
      <c r="AU509" s="730">
        <v>10</v>
      </c>
      <c r="AV509" s="731">
        <v>0.221</v>
      </c>
      <c r="AW509" s="730">
        <v>8</v>
      </c>
      <c r="AX509" s="728">
        <v>0.13200000000000001</v>
      </c>
      <c r="AY509" s="730">
        <v>8</v>
      </c>
      <c r="AZ509" s="728">
        <v>3.3000000000000002E-2</v>
      </c>
      <c r="BA509" s="730">
        <v>9</v>
      </c>
      <c r="BB509" s="733">
        <v>6.4000000000000001E-2</v>
      </c>
      <c r="BC509" s="730">
        <v>2</v>
      </c>
      <c r="BD509" s="6"/>
    </row>
    <row r="510" spans="7:56" s="704" customFormat="1" ht="15">
      <c r="G510" s="1546"/>
      <c r="W510" s="6"/>
      <c r="X510" s="87"/>
      <c r="Y510" s="87"/>
      <c r="Z510" s="739"/>
      <c r="AA510" s="739"/>
      <c r="AB510" s="743"/>
      <c r="AC510" s="108"/>
      <c r="AD510" s="108"/>
      <c r="AE510" s="770" t="s">
        <v>2795</v>
      </c>
      <c r="AF510" s="771" t="s">
        <v>653</v>
      </c>
      <c r="AG510" s="108"/>
      <c r="AH510" s="454" t="s">
        <v>469</v>
      </c>
      <c r="AI510" s="455">
        <v>308</v>
      </c>
      <c r="AJ510" s="724">
        <v>0.13769941225860621</v>
      </c>
      <c r="AK510" s="725">
        <v>6</v>
      </c>
      <c r="AL510" s="726">
        <v>42125</v>
      </c>
      <c r="AM510" s="725">
        <v>14</v>
      </c>
      <c r="AN510" s="727">
        <v>0.48799999999999999</v>
      </c>
      <c r="AO510" s="725">
        <v>12</v>
      </c>
      <c r="AP510" s="727">
        <v>5.5E-2</v>
      </c>
      <c r="AQ510" s="725">
        <v>16</v>
      </c>
      <c r="AR510" s="728">
        <v>0.86599999999999999</v>
      </c>
      <c r="AS510" s="729">
        <v>10</v>
      </c>
      <c r="AT510" s="728">
        <v>0</v>
      </c>
      <c r="AU510" s="730">
        <v>10</v>
      </c>
      <c r="AV510" s="731">
        <v>0.13699999999999998</v>
      </c>
      <c r="AW510" s="730">
        <v>9</v>
      </c>
      <c r="AX510" s="728">
        <v>7.400000000000001E-2</v>
      </c>
      <c r="AY510" s="730">
        <v>9</v>
      </c>
      <c r="AZ510" s="728">
        <v>5.7000000000000002E-2</v>
      </c>
      <c r="BA510" s="730">
        <v>9</v>
      </c>
      <c r="BB510" s="733">
        <v>0.14800000000000002</v>
      </c>
      <c r="BC510" s="730">
        <v>4</v>
      </c>
      <c r="BD510" s="6"/>
    </row>
    <row r="511" spans="7:56" s="704" customFormat="1" ht="15">
      <c r="G511" s="1546"/>
      <c r="W511" s="6"/>
      <c r="X511" s="87"/>
      <c r="Y511" s="87"/>
      <c r="Z511" s="739"/>
      <c r="AA511" s="739"/>
      <c r="AB511" s="743"/>
      <c r="AC511" s="108"/>
      <c r="AD511" s="108"/>
      <c r="AE511" s="770" t="s">
        <v>1329</v>
      </c>
      <c r="AF511" s="771" t="s">
        <v>653</v>
      </c>
      <c r="AG511" s="108"/>
      <c r="AH511" s="454" t="s">
        <v>470</v>
      </c>
      <c r="AI511" s="455">
        <v>301.01</v>
      </c>
      <c r="AJ511" s="724">
        <v>0.13333333333333333</v>
      </c>
      <c r="AK511" s="725">
        <v>6</v>
      </c>
      <c r="AL511" s="726">
        <v>40189</v>
      </c>
      <c r="AM511" s="725">
        <v>16</v>
      </c>
      <c r="AN511" s="727">
        <v>0.54899999999999993</v>
      </c>
      <c r="AO511" s="725">
        <v>16</v>
      </c>
      <c r="AP511" s="727">
        <v>1.1000000000000001E-2</v>
      </c>
      <c r="AQ511" s="725">
        <v>20</v>
      </c>
      <c r="AR511" s="728">
        <v>0.79500000000000004</v>
      </c>
      <c r="AS511" s="729">
        <v>9</v>
      </c>
      <c r="AT511" s="728">
        <v>0</v>
      </c>
      <c r="AU511" s="730">
        <v>10</v>
      </c>
      <c r="AV511" s="731">
        <v>0.20800000000000002</v>
      </c>
      <c r="AW511" s="730">
        <v>8</v>
      </c>
      <c r="AX511" s="728">
        <v>0.20100000000000001</v>
      </c>
      <c r="AY511" s="730">
        <v>7</v>
      </c>
      <c r="AZ511" s="728">
        <v>0.04</v>
      </c>
      <c r="BA511" s="730">
        <v>9</v>
      </c>
      <c r="BB511" s="733">
        <v>6.8000000000000005E-2</v>
      </c>
      <c r="BC511" s="730">
        <v>2</v>
      </c>
      <c r="BD511" s="6"/>
    </row>
    <row r="512" spans="7:56" s="704" customFormat="1" ht="15">
      <c r="G512" s="1546"/>
      <c r="W512" s="6"/>
      <c r="X512" s="87"/>
      <c r="Y512" s="87"/>
      <c r="Z512" s="739"/>
      <c r="AA512" s="739"/>
      <c r="AB512" s="743"/>
      <c r="AC512" s="108"/>
      <c r="AD512" s="108"/>
      <c r="AE512" s="770" t="s">
        <v>1330</v>
      </c>
      <c r="AF512" s="771" t="s">
        <v>653</v>
      </c>
      <c r="AG512" s="108"/>
      <c r="AH512" s="454" t="s">
        <v>470</v>
      </c>
      <c r="AI512" s="455">
        <v>301.02</v>
      </c>
      <c r="AJ512" s="724">
        <v>0.13333333333333333</v>
      </c>
      <c r="AK512" s="725">
        <v>6</v>
      </c>
      <c r="AL512" s="726">
        <v>40189</v>
      </c>
      <c r="AM512" s="725">
        <v>16</v>
      </c>
      <c r="AN512" s="727">
        <v>0.54899999999999993</v>
      </c>
      <c r="AO512" s="725">
        <v>16</v>
      </c>
      <c r="AP512" s="727">
        <v>1.1000000000000001E-2</v>
      </c>
      <c r="AQ512" s="725">
        <v>20</v>
      </c>
      <c r="AR512" s="728">
        <v>0.85</v>
      </c>
      <c r="AS512" s="729">
        <v>9</v>
      </c>
      <c r="AT512" s="728">
        <v>0</v>
      </c>
      <c r="AU512" s="730">
        <v>10</v>
      </c>
      <c r="AV512" s="731">
        <v>0.16899999999999998</v>
      </c>
      <c r="AW512" s="730">
        <v>8</v>
      </c>
      <c r="AX512" s="728">
        <v>0.188</v>
      </c>
      <c r="AY512" s="730">
        <v>7</v>
      </c>
      <c r="AZ512" s="728">
        <v>7.9000000000000001E-2</v>
      </c>
      <c r="BA512" s="730">
        <v>8</v>
      </c>
      <c r="BB512" s="733">
        <v>3.9E-2</v>
      </c>
      <c r="BC512" s="730">
        <v>2</v>
      </c>
      <c r="BD512" s="6"/>
    </row>
    <row r="513" spans="7:56" s="704" customFormat="1" ht="15">
      <c r="G513" s="1546"/>
      <c r="W513" s="6"/>
      <c r="X513" s="87"/>
      <c r="Y513" s="87"/>
      <c r="Z513" s="739"/>
      <c r="AA513" s="739"/>
      <c r="AB513" s="743"/>
      <c r="AC513" s="108"/>
      <c r="AD513" s="108"/>
      <c r="AE513" s="770" t="s">
        <v>1331</v>
      </c>
      <c r="AF513" s="771" t="s">
        <v>1450</v>
      </c>
      <c r="AG513" s="108"/>
      <c r="AH513" s="454" t="s">
        <v>471</v>
      </c>
      <c r="AI513" s="455">
        <v>1</v>
      </c>
      <c r="AJ513" s="724">
        <v>9.1639249080704477E-2</v>
      </c>
      <c r="AK513" s="725">
        <v>15</v>
      </c>
      <c r="AL513" s="726">
        <v>45958</v>
      </c>
      <c r="AM513" s="725">
        <v>14</v>
      </c>
      <c r="AN513" s="727">
        <v>0.50800000000000001</v>
      </c>
      <c r="AO513" s="725">
        <v>14</v>
      </c>
      <c r="AP513" s="727">
        <v>6.0999999999999999E-2</v>
      </c>
      <c r="AQ513" s="725">
        <v>14</v>
      </c>
      <c r="AR513" s="728">
        <v>0.64400000000000002</v>
      </c>
      <c r="AS513" s="729">
        <v>7</v>
      </c>
      <c r="AT513" s="728">
        <v>4.0000000000000001E-3</v>
      </c>
      <c r="AU513" s="730">
        <v>10</v>
      </c>
      <c r="AV513" s="731">
        <v>0.19500000000000001</v>
      </c>
      <c r="AW513" s="730">
        <v>8</v>
      </c>
      <c r="AX513" s="728">
        <v>0.11199999999999999</v>
      </c>
      <c r="AY513" s="730">
        <v>9</v>
      </c>
      <c r="AZ513" s="728">
        <v>3.2000000000000001E-2</v>
      </c>
      <c r="BA513" s="730">
        <v>9</v>
      </c>
      <c r="BB513" s="733">
        <v>0.13300000000000001</v>
      </c>
      <c r="BC513" s="730">
        <v>4</v>
      </c>
      <c r="BD513" s="6"/>
    </row>
    <row r="514" spans="7:56" s="704" customFormat="1" ht="15">
      <c r="G514" s="1546"/>
      <c r="W514" s="6"/>
      <c r="X514" s="87"/>
      <c r="Y514" s="87"/>
      <c r="Z514" s="739"/>
      <c r="AA514" s="739"/>
      <c r="AB514" s="743"/>
      <c r="AC514" s="108"/>
      <c r="AD514" s="108"/>
      <c r="AE514" s="770" t="s">
        <v>1332</v>
      </c>
      <c r="AF514" s="771" t="s">
        <v>653</v>
      </c>
      <c r="AG514" s="108"/>
      <c r="AH514" s="454" t="s">
        <v>471</v>
      </c>
      <c r="AI514" s="455">
        <v>3</v>
      </c>
      <c r="AJ514" s="724">
        <v>9.1639249080704477E-2</v>
      </c>
      <c r="AK514" s="725">
        <v>15</v>
      </c>
      <c r="AL514" s="726">
        <v>45958</v>
      </c>
      <c r="AM514" s="725">
        <v>14</v>
      </c>
      <c r="AN514" s="727">
        <v>0.50800000000000001</v>
      </c>
      <c r="AO514" s="725">
        <v>14</v>
      </c>
      <c r="AP514" s="727">
        <v>6.0999999999999999E-2</v>
      </c>
      <c r="AQ514" s="725">
        <v>14</v>
      </c>
      <c r="AR514" s="728">
        <v>0.58799999999999997</v>
      </c>
      <c r="AS514" s="729">
        <v>7</v>
      </c>
      <c r="AT514" s="728">
        <v>0</v>
      </c>
      <c r="AU514" s="730">
        <v>10</v>
      </c>
      <c r="AV514" s="731">
        <v>0.19600000000000001</v>
      </c>
      <c r="AW514" s="730">
        <v>8</v>
      </c>
      <c r="AX514" s="728">
        <v>0.23199999999999998</v>
      </c>
      <c r="AY514" s="730">
        <v>7</v>
      </c>
      <c r="AZ514" s="728">
        <v>4.5999999999999999E-2</v>
      </c>
      <c r="BA514" s="730">
        <v>9</v>
      </c>
      <c r="BB514" s="733">
        <v>0.11</v>
      </c>
      <c r="BC514" s="730">
        <v>3</v>
      </c>
      <c r="BD514" s="6"/>
    </row>
    <row r="515" spans="7:56" s="704" customFormat="1" ht="15">
      <c r="G515" s="1546"/>
      <c r="W515" s="6"/>
      <c r="X515" s="87"/>
      <c r="Y515" s="87"/>
      <c r="Z515" s="739"/>
      <c r="AA515" s="739"/>
      <c r="AB515" s="743"/>
      <c r="AC515" s="108"/>
      <c r="AD515" s="108"/>
      <c r="AE515" s="770" t="s">
        <v>2593</v>
      </c>
      <c r="AF515" s="771" t="s">
        <v>1450</v>
      </c>
      <c r="AG515" s="108"/>
      <c r="AH515" s="454" t="s">
        <v>471</v>
      </c>
      <c r="AI515" s="455">
        <v>4</v>
      </c>
      <c r="AJ515" s="724">
        <v>9.1639249080704477E-2</v>
      </c>
      <c r="AK515" s="725">
        <v>15</v>
      </c>
      <c r="AL515" s="726">
        <v>45958</v>
      </c>
      <c r="AM515" s="725">
        <v>14</v>
      </c>
      <c r="AN515" s="727">
        <v>0.50800000000000001</v>
      </c>
      <c r="AO515" s="725">
        <v>14</v>
      </c>
      <c r="AP515" s="727">
        <v>6.0999999999999999E-2</v>
      </c>
      <c r="AQ515" s="725">
        <v>14</v>
      </c>
      <c r="AR515" s="728">
        <v>0.79900000000000004</v>
      </c>
      <c r="AS515" s="729">
        <v>9</v>
      </c>
      <c r="AT515" s="728">
        <v>0</v>
      </c>
      <c r="AU515" s="730">
        <v>10</v>
      </c>
      <c r="AV515" s="731">
        <v>9.6999999999999989E-2</v>
      </c>
      <c r="AW515" s="730">
        <v>9</v>
      </c>
      <c r="AX515" s="728">
        <v>0.111</v>
      </c>
      <c r="AY515" s="730">
        <v>9</v>
      </c>
      <c r="AZ515" s="728">
        <v>2.2000000000000002E-2</v>
      </c>
      <c r="BA515" s="730">
        <v>10</v>
      </c>
      <c r="BB515" s="733">
        <v>0.14099999999999999</v>
      </c>
      <c r="BC515" s="730">
        <v>4</v>
      </c>
      <c r="BD515" s="6"/>
    </row>
    <row r="516" spans="7:56" s="704" customFormat="1" ht="15">
      <c r="G516" s="1546"/>
      <c r="W516" s="6"/>
      <c r="X516" s="87"/>
      <c r="Y516" s="87"/>
      <c r="Z516" s="739"/>
      <c r="AA516" s="739"/>
      <c r="AB516" s="743"/>
      <c r="AC516" s="108"/>
      <c r="AD516" s="108"/>
      <c r="AE516" s="770" t="s">
        <v>1333</v>
      </c>
      <c r="AF516" s="771" t="s">
        <v>652</v>
      </c>
      <c r="AG516" s="108"/>
      <c r="AH516" s="454" t="s">
        <v>471</v>
      </c>
      <c r="AI516" s="455">
        <v>5</v>
      </c>
      <c r="AJ516" s="724">
        <v>9.1639249080704477E-2</v>
      </c>
      <c r="AK516" s="725">
        <v>15</v>
      </c>
      <c r="AL516" s="726">
        <v>45958</v>
      </c>
      <c r="AM516" s="725">
        <v>14</v>
      </c>
      <c r="AN516" s="727">
        <v>0.50800000000000001</v>
      </c>
      <c r="AO516" s="725">
        <v>14</v>
      </c>
      <c r="AP516" s="727">
        <v>6.0999999999999999E-2</v>
      </c>
      <c r="AQ516" s="725">
        <v>14</v>
      </c>
      <c r="AR516" s="728">
        <v>0.55100000000000005</v>
      </c>
      <c r="AS516" s="729">
        <v>6</v>
      </c>
      <c r="AT516" s="728">
        <v>0.01</v>
      </c>
      <c r="AU516" s="730">
        <v>10</v>
      </c>
      <c r="AV516" s="731">
        <v>0.32400000000000001</v>
      </c>
      <c r="AW516" s="730">
        <v>6</v>
      </c>
      <c r="AX516" s="728">
        <v>0.39</v>
      </c>
      <c r="AY516" s="730">
        <v>4</v>
      </c>
      <c r="AZ516" s="728">
        <v>8.199999999999999E-2</v>
      </c>
      <c r="BA516" s="730">
        <v>8</v>
      </c>
      <c r="BB516" s="733">
        <v>0.10800000000000001</v>
      </c>
      <c r="BC516" s="730">
        <v>3</v>
      </c>
      <c r="BD516" s="6"/>
    </row>
    <row r="517" spans="7:56" s="704" customFormat="1" ht="15">
      <c r="G517" s="1546"/>
      <c r="W517" s="6"/>
      <c r="X517" s="87"/>
      <c r="Y517" s="87"/>
      <c r="Z517" s="739"/>
      <c r="AA517" s="739"/>
      <c r="AB517" s="743"/>
      <c r="AC517" s="108"/>
      <c r="AD517" s="108"/>
      <c r="AE517" s="770" t="s">
        <v>1334</v>
      </c>
      <c r="AF517" s="771" t="s">
        <v>1450</v>
      </c>
      <c r="AG517" s="108"/>
      <c r="AH517" s="454" t="s">
        <v>471</v>
      </c>
      <c r="AI517" s="455">
        <v>7.01</v>
      </c>
      <c r="AJ517" s="724">
        <v>9.1639249080704477E-2</v>
      </c>
      <c r="AK517" s="725">
        <v>15</v>
      </c>
      <c r="AL517" s="726">
        <v>45958</v>
      </c>
      <c r="AM517" s="725">
        <v>14</v>
      </c>
      <c r="AN517" s="727">
        <v>0.50800000000000001</v>
      </c>
      <c r="AO517" s="725">
        <v>14</v>
      </c>
      <c r="AP517" s="727">
        <v>6.0999999999999999E-2</v>
      </c>
      <c r="AQ517" s="725">
        <v>14</v>
      </c>
      <c r="AR517" s="728">
        <v>0.34</v>
      </c>
      <c r="AS517" s="729">
        <v>4</v>
      </c>
      <c r="AT517" s="728">
        <v>3.7000000000000005E-2</v>
      </c>
      <c r="AU517" s="730">
        <v>7</v>
      </c>
      <c r="AV517" s="731">
        <v>0.39899999999999997</v>
      </c>
      <c r="AW517" s="730">
        <v>5</v>
      </c>
      <c r="AX517" s="728">
        <v>0.42499999999999999</v>
      </c>
      <c r="AY517" s="730">
        <v>4</v>
      </c>
      <c r="AZ517" s="728">
        <v>0.114</v>
      </c>
      <c r="BA517" s="730">
        <v>7</v>
      </c>
      <c r="BB517" s="733">
        <v>0.03</v>
      </c>
      <c r="BC517" s="730">
        <v>1</v>
      </c>
      <c r="BD517" s="6"/>
    </row>
    <row r="518" spans="7:56" s="704" customFormat="1" ht="15">
      <c r="G518" s="1546"/>
      <c r="W518" s="6"/>
      <c r="X518" s="87"/>
      <c r="Y518" s="87"/>
      <c r="Z518" s="739"/>
      <c r="AA518" s="739"/>
      <c r="AB518" s="743"/>
      <c r="AC518" s="108"/>
      <c r="AD518" s="108"/>
      <c r="AE518" s="770" t="s">
        <v>1335</v>
      </c>
      <c r="AF518" s="771" t="s">
        <v>1450</v>
      </c>
      <c r="AG518" s="108"/>
      <c r="AH518" s="454" t="s">
        <v>471</v>
      </c>
      <c r="AI518" s="455">
        <v>7.02</v>
      </c>
      <c r="AJ518" s="724">
        <v>9.1639249080704477E-2</v>
      </c>
      <c r="AK518" s="725">
        <v>15</v>
      </c>
      <c r="AL518" s="726">
        <v>45958</v>
      </c>
      <c r="AM518" s="725">
        <v>14</v>
      </c>
      <c r="AN518" s="727">
        <v>0.50800000000000001</v>
      </c>
      <c r="AO518" s="725">
        <v>14</v>
      </c>
      <c r="AP518" s="727">
        <v>6.0999999999999999E-2</v>
      </c>
      <c r="AQ518" s="725">
        <v>14</v>
      </c>
      <c r="AR518" s="728">
        <v>0.61399999999999999</v>
      </c>
      <c r="AS518" s="729">
        <v>7</v>
      </c>
      <c r="AT518" s="728">
        <v>0</v>
      </c>
      <c r="AU518" s="730">
        <v>10</v>
      </c>
      <c r="AV518" s="731">
        <v>0.33399999999999996</v>
      </c>
      <c r="AW518" s="730">
        <v>6</v>
      </c>
      <c r="AX518" s="728">
        <v>0.221</v>
      </c>
      <c r="AY518" s="730">
        <v>7</v>
      </c>
      <c r="AZ518" s="728">
        <v>0.113</v>
      </c>
      <c r="BA518" s="730">
        <v>7</v>
      </c>
      <c r="BB518" s="733">
        <v>0.10400000000000001</v>
      </c>
      <c r="BC518" s="730">
        <v>3</v>
      </c>
      <c r="BD518" s="6"/>
    </row>
    <row r="519" spans="7:56" s="704" customFormat="1" ht="15">
      <c r="G519" s="1546"/>
      <c r="W519" s="6"/>
      <c r="X519" s="87"/>
      <c r="Y519" s="87"/>
      <c r="Z519" s="739"/>
      <c r="AA519" s="739"/>
      <c r="AB519" s="743"/>
      <c r="AC519" s="108"/>
      <c r="AD519" s="108"/>
      <c r="AE519" s="770" t="s">
        <v>1336</v>
      </c>
      <c r="AF519" s="771" t="s">
        <v>653</v>
      </c>
      <c r="AG519" s="108"/>
      <c r="AH519" s="454" t="s">
        <v>471</v>
      </c>
      <c r="AI519" s="455">
        <v>8.01</v>
      </c>
      <c r="AJ519" s="724">
        <v>9.1639249080704477E-2</v>
      </c>
      <c r="AK519" s="725">
        <v>15</v>
      </c>
      <c r="AL519" s="726">
        <v>45958</v>
      </c>
      <c r="AM519" s="725">
        <v>14</v>
      </c>
      <c r="AN519" s="727">
        <v>0.50800000000000001</v>
      </c>
      <c r="AO519" s="725">
        <v>14</v>
      </c>
      <c r="AP519" s="727">
        <v>6.0999999999999999E-2</v>
      </c>
      <c r="AQ519" s="725">
        <v>14</v>
      </c>
      <c r="AR519" s="728">
        <v>0.65700000000000003</v>
      </c>
      <c r="AS519" s="729">
        <v>7</v>
      </c>
      <c r="AT519" s="728">
        <v>0.01</v>
      </c>
      <c r="AU519" s="730">
        <v>10</v>
      </c>
      <c r="AV519" s="731">
        <v>0.35799999999999998</v>
      </c>
      <c r="AW519" s="730">
        <v>6</v>
      </c>
      <c r="AX519" s="728">
        <v>0.33200000000000002</v>
      </c>
      <c r="AY519" s="730">
        <v>5</v>
      </c>
      <c r="AZ519" s="728">
        <v>7.0999999999999994E-2</v>
      </c>
      <c r="BA519" s="730">
        <v>8</v>
      </c>
      <c r="BB519" s="733">
        <v>8.5999999999999993E-2</v>
      </c>
      <c r="BC519" s="730">
        <v>3</v>
      </c>
      <c r="BD519" s="6"/>
    </row>
    <row r="520" spans="7:56" s="704" customFormat="1" ht="15">
      <c r="G520" s="1546"/>
      <c r="W520" s="6"/>
      <c r="X520" s="87"/>
      <c r="Y520" s="87"/>
      <c r="Z520" s="739"/>
      <c r="AA520" s="739"/>
      <c r="AB520" s="743"/>
      <c r="AC520" s="108"/>
      <c r="AD520" s="108"/>
      <c r="AE520" s="770" t="s">
        <v>1337</v>
      </c>
      <c r="AF520" s="771" t="s">
        <v>1450</v>
      </c>
      <c r="AG520" s="108"/>
      <c r="AH520" s="454" t="s">
        <v>471</v>
      </c>
      <c r="AI520" s="455">
        <v>8.02</v>
      </c>
      <c r="AJ520" s="724">
        <v>9.1639249080704477E-2</v>
      </c>
      <c r="AK520" s="725">
        <v>15</v>
      </c>
      <c r="AL520" s="726">
        <v>45958</v>
      </c>
      <c r="AM520" s="725">
        <v>14</v>
      </c>
      <c r="AN520" s="727">
        <v>0.50800000000000001</v>
      </c>
      <c r="AO520" s="725">
        <v>14</v>
      </c>
      <c r="AP520" s="727">
        <v>6.0999999999999999E-2</v>
      </c>
      <c r="AQ520" s="725">
        <v>14</v>
      </c>
      <c r="AR520" s="728">
        <v>0.72599999999999998</v>
      </c>
      <c r="AS520" s="729">
        <v>8</v>
      </c>
      <c r="AT520" s="728">
        <v>1.8000000000000002E-2</v>
      </c>
      <c r="AU520" s="730">
        <v>9</v>
      </c>
      <c r="AV520" s="731">
        <v>0.20800000000000002</v>
      </c>
      <c r="AW520" s="730">
        <v>8</v>
      </c>
      <c r="AX520" s="728">
        <v>0.14800000000000002</v>
      </c>
      <c r="AY520" s="730">
        <v>8</v>
      </c>
      <c r="AZ520" s="728">
        <v>7.9000000000000001E-2</v>
      </c>
      <c r="BA520" s="730">
        <v>8</v>
      </c>
      <c r="BB520" s="733">
        <v>6.8000000000000005E-2</v>
      </c>
      <c r="BC520" s="730">
        <v>2</v>
      </c>
      <c r="BD520" s="6"/>
    </row>
    <row r="521" spans="7:56" s="704" customFormat="1" ht="15">
      <c r="G521" s="1546"/>
      <c r="W521" s="6"/>
      <c r="X521" s="87"/>
      <c r="Y521" s="87"/>
      <c r="Z521" s="739"/>
      <c r="AA521" s="739"/>
      <c r="AB521" s="743"/>
      <c r="AC521" s="108"/>
      <c r="AD521" s="108"/>
      <c r="AE521" s="770" t="s">
        <v>2594</v>
      </c>
      <c r="AF521" s="771" t="s">
        <v>1450</v>
      </c>
      <c r="AG521" s="108"/>
      <c r="AH521" s="454" t="s">
        <v>471</v>
      </c>
      <c r="AI521" s="455">
        <v>9.01</v>
      </c>
      <c r="AJ521" s="724">
        <v>9.1639249080704477E-2</v>
      </c>
      <c r="AK521" s="725">
        <v>15</v>
      </c>
      <c r="AL521" s="726">
        <v>45958</v>
      </c>
      <c r="AM521" s="725">
        <v>14</v>
      </c>
      <c r="AN521" s="727">
        <v>0.50800000000000001</v>
      </c>
      <c r="AO521" s="725">
        <v>14</v>
      </c>
      <c r="AP521" s="727">
        <v>6.0999999999999999E-2</v>
      </c>
      <c r="AQ521" s="725">
        <v>14</v>
      </c>
      <c r="AR521" s="728">
        <v>0.58299999999999996</v>
      </c>
      <c r="AS521" s="729">
        <v>7</v>
      </c>
      <c r="AT521" s="728">
        <v>3.6000000000000004E-2</v>
      </c>
      <c r="AU521" s="730">
        <v>7</v>
      </c>
      <c r="AV521" s="731">
        <v>0.152</v>
      </c>
      <c r="AW521" s="730">
        <v>9</v>
      </c>
      <c r="AX521" s="728">
        <v>0.17899999999999999</v>
      </c>
      <c r="AY521" s="730">
        <v>8</v>
      </c>
      <c r="AZ521" s="728">
        <v>0.15</v>
      </c>
      <c r="BA521" s="730">
        <v>5</v>
      </c>
      <c r="BB521" s="733">
        <v>8.1000000000000003E-2</v>
      </c>
      <c r="BC521" s="730">
        <v>3</v>
      </c>
      <c r="BD521" s="6"/>
    </row>
    <row r="522" spans="7:56" s="704" customFormat="1" ht="15">
      <c r="G522" s="1546"/>
      <c r="W522" s="6"/>
      <c r="X522" s="87"/>
      <c r="Y522" s="87"/>
      <c r="Z522" s="739"/>
      <c r="AA522" s="739"/>
      <c r="AB522" s="743"/>
      <c r="AC522" s="108"/>
      <c r="AD522" s="108"/>
      <c r="AE522" s="770" t="s">
        <v>1338</v>
      </c>
      <c r="AF522" s="771" t="s">
        <v>1450</v>
      </c>
      <c r="AG522" s="108"/>
      <c r="AH522" s="454" t="s">
        <v>471</v>
      </c>
      <c r="AI522" s="455">
        <v>9.02</v>
      </c>
      <c r="AJ522" s="724">
        <v>9.1639249080704477E-2</v>
      </c>
      <c r="AK522" s="725">
        <v>15</v>
      </c>
      <c r="AL522" s="726">
        <v>45958</v>
      </c>
      <c r="AM522" s="725">
        <v>14</v>
      </c>
      <c r="AN522" s="727">
        <v>0.50800000000000001</v>
      </c>
      <c r="AO522" s="725">
        <v>14</v>
      </c>
      <c r="AP522" s="727">
        <v>6.0999999999999999E-2</v>
      </c>
      <c r="AQ522" s="725">
        <v>14</v>
      </c>
      <c r="AR522" s="728">
        <v>0.76200000000000001</v>
      </c>
      <c r="AS522" s="729">
        <v>9</v>
      </c>
      <c r="AT522" s="728">
        <v>1.4999999999999999E-2</v>
      </c>
      <c r="AU522" s="730">
        <v>9</v>
      </c>
      <c r="AV522" s="731">
        <v>0.21100000000000002</v>
      </c>
      <c r="AW522" s="730">
        <v>8</v>
      </c>
      <c r="AX522" s="728">
        <v>0.16</v>
      </c>
      <c r="AY522" s="730">
        <v>8</v>
      </c>
      <c r="AZ522" s="728">
        <v>6.7000000000000004E-2</v>
      </c>
      <c r="BA522" s="730">
        <v>8</v>
      </c>
      <c r="BB522" s="733">
        <v>6.3E-2</v>
      </c>
      <c r="BC522" s="730">
        <v>2</v>
      </c>
      <c r="BD522" s="6"/>
    </row>
    <row r="523" spans="7:56" s="704" customFormat="1" ht="15">
      <c r="G523" s="1546"/>
      <c r="W523" s="6"/>
      <c r="X523" s="87"/>
      <c r="Y523" s="87"/>
      <c r="Z523" s="739"/>
      <c r="AA523" s="739"/>
      <c r="AB523" s="743"/>
      <c r="AC523" s="108"/>
      <c r="AD523" s="108"/>
      <c r="AE523" s="770" t="s">
        <v>2595</v>
      </c>
      <c r="AF523" s="771" t="s">
        <v>1450</v>
      </c>
      <c r="AG523" s="108"/>
      <c r="AH523" s="454" t="s">
        <v>471</v>
      </c>
      <c r="AI523" s="455">
        <v>9.0299999999999994</v>
      </c>
      <c r="AJ523" s="724">
        <v>9.1639249080704477E-2</v>
      </c>
      <c r="AK523" s="725">
        <v>15</v>
      </c>
      <c r="AL523" s="726">
        <v>45958</v>
      </c>
      <c r="AM523" s="725">
        <v>14</v>
      </c>
      <c r="AN523" s="727">
        <v>0.50800000000000001</v>
      </c>
      <c r="AO523" s="725">
        <v>14</v>
      </c>
      <c r="AP523" s="727">
        <v>6.0999999999999999E-2</v>
      </c>
      <c r="AQ523" s="725">
        <v>14</v>
      </c>
      <c r="AR523" s="728">
        <v>0.60299999999999998</v>
      </c>
      <c r="AS523" s="729">
        <v>7</v>
      </c>
      <c r="AT523" s="728">
        <v>6.0000000000000001E-3</v>
      </c>
      <c r="AU523" s="730">
        <v>10</v>
      </c>
      <c r="AV523" s="731">
        <v>0.25700000000000001</v>
      </c>
      <c r="AW523" s="730">
        <v>7</v>
      </c>
      <c r="AX523" s="728">
        <v>0.24399999999999999</v>
      </c>
      <c r="AY523" s="730">
        <v>6</v>
      </c>
      <c r="AZ523" s="728">
        <v>3.7999999999999999E-2</v>
      </c>
      <c r="BA523" s="730">
        <v>9</v>
      </c>
      <c r="BB523" s="733">
        <v>0.10400000000000001</v>
      </c>
      <c r="BC523" s="730">
        <v>3</v>
      </c>
      <c r="BD523" s="6"/>
    </row>
    <row r="524" spans="7:56" s="704" customFormat="1" ht="15">
      <c r="G524" s="1546"/>
      <c r="W524" s="6"/>
      <c r="X524" s="87"/>
      <c r="Y524" s="87"/>
      <c r="Z524" s="739"/>
      <c r="AA524" s="739"/>
      <c r="AB524" s="743"/>
      <c r="AC524" s="108"/>
      <c r="AD524" s="108"/>
      <c r="AE524" s="770" t="s">
        <v>1339</v>
      </c>
      <c r="AF524" s="771" t="s">
        <v>1450</v>
      </c>
      <c r="AG524" s="108"/>
      <c r="AH524" s="454" t="s">
        <v>471</v>
      </c>
      <c r="AI524" s="455">
        <v>101.01</v>
      </c>
      <c r="AJ524" s="724">
        <v>9.1639249080704477E-2</v>
      </c>
      <c r="AK524" s="725">
        <v>15</v>
      </c>
      <c r="AL524" s="726">
        <v>45958</v>
      </c>
      <c r="AM524" s="725">
        <v>14</v>
      </c>
      <c r="AN524" s="727">
        <v>0.50800000000000001</v>
      </c>
      <c r="AO524" s="725">
        <v>14</v>
      </c>
      <c r="AP524" s="727">
        <v>6.0999999999999999E-2</v>
      </c>
      <c r="AQ524" s="725">
        <v>14</v>
      </c>
      <c r="AR524" s="728">
        <v>0.83599999999999997</v>
      </c>
      <c r="AS524" s="729">
        <v>9</v>
      </c>
      <c r="AT524" s="728">
        <v>3.5000000000000003E-2</v>
      </c>
      <c r="AU524" s="730">
        <v>7</v>
      </c>
      <c r="AV524" s="731">
        <v>8.6999999999999994E-2</v>
      </c>
      <c r="AW524" s="730">
        <v>9</v>
      </c>
      <c r="AX524" s="728">
        <v>8.5999999999999993E-2</v>
      </c>
      <c r="AY524" s="730">
        <v>9</v>
      </c>
      <c r="AZ524" s="728">
        <v>8.0000000000000002E-3</v>
      </c>
      <c r="BA524" s="730">
        <v>10</v>
      </c>
      <c r="BB524" s="733">
        <v>0.16500000000000001</v>
      </c>
      <c r="BC524" s="730">
        <v>5</v>
      </c>
      <c r="BD524" s="6"/>
    </row>
    <row r="525" spans="7:56" s="704" customFormat="1" ht="15">
      <c r="G525" s="1546"/>
      <c r="W525" s="6"/>
      <c r="X525" s="87"/>
      <c r="Y525" s="87"/>
      <c r="Z525" s="739"/>
      <c r="AA525" s="739"/>
      <c r="AB525" s="743"/>
      <c r="AC525" s="108"/>
      <c r="AD525" s="108"/>
      <c r="AE525" s="770" t="s">
        <v>2596</v>
      </c>
      <c r="AF525" s="771" t="s">
        <v>653</v>
      </c>
      <c r="AG525" s="108"/>
      <c r="AH525" s="454" t="s">
        <v>471</v>
      </c>
      <c r="AI525" s="455">
        <v>101.02</v>
      </c>
      <c r="AJ525" s="724">
        <v>9.1639249080704477E-2</v>
      </c>
      <c r="AK525" s="725">
        <v>15</v>
      </c>
      <c r="AL525" s="726">
        <v>45958</v>
      </c>
      <c r="AM525" s="725">
        <v>14</v>
      </c>
      <c r="AN525" s="727">
        <v>0.50800000000000001</v>
      </c>
      <c r="AO525" s="725">
        <v>14</v>
      </c>
      <c r="AP525" s="727">
        <v>6.0999999999999999E-2</v>
      </c>
      <c r="AQ525" s="725">
        <v>14</v>
      </c>
      <c r="AR525" s="728">
        <v>0.73199999999999998</v>
      </c>
      <c r="AS525" s="729">
        <v>8</v>
      </c>
      <c r="AT525" s="728">
        <v>0.02</v>
      </c>
      <c r="AU525" s="730">
        <v>9</v>
      </c>
      <c r="AV525" s="731">
        <v>8.199999999999999E-2</v>
      </c>
      <c r="AW525" s="730">
        <v>9</v>
      </c>
      <c r="AX525" s="728">
        <v>0.11</v>
      </c>
      <c r="AY525" s="730">
        <v>9</v>
      </c>
      <c r="AZ525" s="728">
        <v>4.0999999999999995E-2</v>
      </c>
      <c r="BA525" s="730">
        <v>9</v>
      </c>
      <c r="BB525" s="733">
        <v>0.26899999999999996</v>
      </c>
      <c r="BC525" s="730">
        <v>7</v>
      </c>
      <c r="BD525" s="6"/>
    </row>
    <row r="526" spans="7:56" s="704" customFormat="1" ht="15">
      <c r="G526" s="1546"/>
      <c r="W526" s="6"/>
      <c r="X526" s="87"/>
      <c r="Y526" s="87"/>
      <c r="Z526" s="739"/>
      <c r="AA526" s="739"/>
      <c r="AB526" s="743"/>
      <c r="AC526" s="108"/>
      <c r="AD526" s="108"/>
      <c r="AE526" s="770" t="s">
        <v>2597</v>
      </c>
      <c r="AF526" s="771" t="s">
        <v>1450</v>
      </c>
      <c r="AG526" s="108"/>
      <c r="AH526" s="454" t="s">
        <v>471</v>
      </c>
      <c r="AI526" s="455">
        <v>102</v>
      </c>
      <c r="AJ526" s="724">
        <v>9.1639249080704477E-2</v>
      </c>
      <c r="AK526" s="725">
        <v>15</v>
      </c>
      <c r="AL526" s="726">
        <v>45958</v>
      </c>
      <c r="AM526" s="725">
        <v>14</v>
      </c>
      <c r="AN526" s="727">
        <v>0.50800000000000001</v>
      </c>
      <c r="AO526" s="725">
        <v>14</v>
      </c>
      <c r="AP526" s="727">
        <v>6.0999999999999999E-2</v>
      </c>
      <c r="AQ526" s="725">
        <v>14</v>
      </c>
      <c r="AR526" s="728">
        <v>0.86499999999999999</v>
      </c>
      <c r="AS526" s="729">
        <v>10</v>
      </c>
      <c r="AT526" s="728">
        <v>0</v>
      </c>
      <c r="AU526" s="730">
        <v>10</v>
      </c>
      <c r="AV526" s="731">
        <v>8.900000000000001E-2</v>
      </c>
      <c r="AW526" s="730">
        <v>9</v>
      </c>
      <c r="AX526" s="728">
        <v>9.6999999999999989E-2</v>
      </c>
      <c r="AY526" s="730">
        <v>9</v>
      </c>
      <c r="AZ526" s="728">
        <v>3.3000000000000002E-2</v>
      </c>
      <c r="BA526" s="730">
        <v>9</v>
      </c>
      <c r="BB526" s="733">
        <v>0.19699999999999998</v>
      </c>
      <c r="BC526" s="730">
        <v>6</v>
      </c>
      <c r="BD526" s="6"/>
    </row>
    <row r="527" spans="7:56" s="704" customFormat="1" ht="15">
      <c r="G527" s="1546"/>
      <c r="W527" s="6"/>
      <c r="X527" s="87"/>
      <c r="Y527" s="87"/>
      <c r="Z527" s="739"/>
      <c r="AA527" s="739"/>
      <c r="AB527" s="743"/>
      <c r="AC527" s="108"/>
      <c r="AD527" s="108"/>
      <c r="AE527" s="770" t="s">
        <v>1340</v>
      </c>
      <c r="AF527" s="771" t="s">
        <v>653</v>
      </c>
      <c r="AG527" s="108"/>
      <c r="AH527" s="454" t="s">
        <v>471</v>
      </c>
      <c r="AI527" s="455">
        <v>103</v>
      </c>
      <c r="AJ527" s="724">
        <v>9.1639249080704477E-2</v>
      </c>
      <c r="AK527" s="725">
        <v>15</v>
      </c>
      <c r="AL527" s="726">
        <v>45958</v>
      </c>
      <c r="AM527" s="725">
        <v>14</v>
      </c>
      <c r="AN527" s="727">
        <v>0.50800000000000001</v>
      </c>
      <c r="AO527" s="725">
        <v>14</v>
      </c>
      <c r="AP527" s="727">
        <v>6.0999999999999999E-2</v>
      </c>
      <c r="AQ527" s="725">
        <v>14</v>
      </c>
      <c r="AR527" s="728">
        <v>0.878</v>
      </c>
      <c r="AS527" s="729">
        <v>10</v>
      </c>
      <c r="AT527" s="728">
        <v>9.0000000000000011E-3</v>
      </c>
      <c r="AU527" s="730">
        <v>10</v>
      </c>
      <c r="AV527" s="731">
        <v>7.8E-2</v>
      </c>
      <c r="AW527" s="730">
        <v>10</v>
      </c>
      <c r="AX527" s="728">
        <v>5.5E-2</v>
      </c>
      <c r="AY527" s="730">
        <v>10</v>
      </c>
      <c r="AZ527" s="728">
        <v>4.7E-2</v>
      </c>
      <c r="BA527" s="730">
        <v>9</v>
      </c>
      <c r="BB527" s="733">
        <v>0.251</v>
      </c>
      <c r="BC527" s="730">
        <v>7</v>
      </c>
      <c r="BD527" s="6"/>
    </row>
    <row r="528" spans="7:56" s="704" customFormat="1" ht="15">
      <c r="G528" s="1546"/>
      <c r="W528" s="6"/>
      <c r="X528" s="87"/>
      <c r="Y528" s="87"/>
      <c r="Z528" s="739"/>
      <c r="AA528" s="739"/>
      <c r="AB528" s="743"/>
      <c r="AC528" s="108"/>
      <c r="AD528" s="108"/>
      <c r="AE528" s="770" t="s">
        <v>1341</v>
      </c>
      <c r="AF528" s="771" t="s">
        <v>1450</v>
      </c>
      <c r="AG528" s="108"/>
      <c r="AH528" s="454" t="s">
        <v>471</v>
      </c>
      <c r="AI528" s="455">
        <v>104</v>
      </c>
      <c r="AJ528" s="724">
        <v>9.1639249080704477E-2</v>
      </c>
      <c r="AK528" s="725">
        <v>15</v>
      </c>
      <c r="AL528" s="726">
        <v>45958</v>
      </c>
      <c r="AM528" s="725">
        <v>14</v>
      </c>
      <c r="AN528" s="727">
        <v>0.50800000000000001</v>
      </c>
      <c r="AO528" s="725">
        <v>14</v>
      </c>
      <c r="AP528" s="727">
        <v>6.0999999999999999E-2</v>
      </c>
      <c r="AQ528" s="725">
        <v>14</v>
      </c>
      <c r="AR528" s="728">
        <v>0.79400000000000004</v>
      </c>
      <c r="AS528" s="729">
        <v>9</v>
      </c>
      <c r="AT528" s="728">
        <v>4.0000000000000001E-3</v>
      </c>
      <c r="AU528" s="730">
        <v>10</v>
      </c>
      <c r="AV528" s="731">
        <v>9.5000000000000001E-2</v>
      </c>
      <c r="AW528" s="730">
        <v>9</v>
      </c>
      <c r="AX528" s="728">
        <v>8.4000000000000005E-2</v>
      </c>
      <c r="AY528" s="730">
        <v>9</v>
      </c>
      <c r="AZ528" s="728">
        <v>5.7000000000000002E-2</v>
      </c>
      <c r="BA528" s="730">
        <v>9</v>
      </c>
      <c r="BB528" s="733">
        <v>0.214</v>
      </c>
      <c r="BC528" s="730">
        <v>6</v>
      </c>
      <c r="BD528" s="6"/>
    </row>
    <row r="529" spans="7:56" s="704" customFormat="1" ht="15">
      <c r="G529" s="1546"/>
      <c r="W529" s="6"/>
      <c r="X529" s="87"/>
      <c r="Y529" s="87"/>
      <c r="Z529" s="739"/>
      <c r="AA529" s="739"/>
      <c r="AB529" s="743"/>
      <c r="AC529" s="108"/>
      <c r="AD529" s="108"/>
      <c r="AE529" s="770" t="s">
        <v>2598</v>
      </c>
      <c r="AF529" s="771" t="s">
        <v>1450</v>
      </c>
      <c r="AG529" s="108"/>
      <c r="AH529" s="454" t="s">
        <v>471</v>
      </c>
      <c r="AI529" s="455">
        <v>105.01</v>
      </c>
      <c r="AJ529" s="724">
        <v>9.1639249080704477E-2</v>
      </c>
      <c r="AK529" s="725">
        <v>15</v>
      </c>
      <c r="AL529" s="726">
        <v>45958</v>
      </c>
      <c r="AM529" s="725">
        <v>14</v>
      </c>
      <c r="AN529" s="727">
        <v>0.50800000000000001</v>
      </c>
      <c r="AO529" s="725">
        <v>14</v>
      </c>
      <c r="AP529" s="727">
        <v>6.0999999999999999E-2</v>
      </c>
      <c r="AQ529" s="725">
        <v>14</v>
      </c>
      <c r="AR529" s="728">
        <v>0.67599999999999993</v>
      </c>
      <c r="AS529" s="729">
        <v>8</v>
      </c>
      <c r="AT529" s="728">
        <v>0</v>
      </c>
      <c r="AU529" s="730">
        <v>10</v>
      </c>
      <c r="AV529" s="731">
        <v>0.20300000000000001</v>
      </c>
      <c r="AW529" s="730">
        <v>8</v>
      </c>
      <c r="AX529" s="728">
        <v>0.154</v>
      </c>
      <c r="AY529" s="730">
        <v>8</v>
      </c>
      <c r="AZ529" s="728">
        <v>5.5999999999999994E-2</v>
      </c>
      <c r="BA529" s="730">
        <v>9</v>
      </c>
      <c r="BB529" s="733">
        <v>0.2</v>
      </c>
      <c r="BC529" s="730">
        <v>6</v>
      </c>
      <c r="BD529" s="6"/>
    </row>
    <row r="530" spans="7:56" s="704" customFormat="1" ht="15">
      <c r="G530" s="1546"/>
      <c r="W530" s="6"/>
      <c r="X530" s="87"/>
      <c r="Y530" s="87"/>
      <c r="Z530" s="739"/>
      <c r="AA530" s="739"/>
      <c r="AB530" s="743"/>
      <c r="AC530" s="108"/>
      <c r="AD530" s="108"/>
      <c r="AE530" s="770" t="s">
        <v>1342</v>
      </c>
      <c r="AF530" s="771" t="s">
        <v>653</v>
      </c>
      <c r="AG530" s="108"/>
      <c r="AH530" s="454" t="s">
        <v>471</v>
      </c>
      <c r="AI530" s="455">
        <v>105.02</v>
      </c>
      <c r="AJ530" s="724">
        <v>9.1639249080704477E-2</v>
      </c>
      <c r="AK530" s="725">
        <v>15</v>
      </c>
      <c r="AL530" s="726">
        <v>45958</v>
      </c>
      <c r="AM530" s="725">
        <v>14</v>
      </c>
      <c r="AN530" s="727">
        <v>0.50800000000000001</v>
      </c>
      <c r="AO530" s="725">
        <v>14</v>
      </c>
      <c r="AP530" s="727">
        <v>6.0999999999999999E-2</v>
      </c>
      <c r="AQ530" s="725">
        <v>14</v>
      </c>
      <c r="AR530" s="728">
        <v>0.624</v>
      </c>
      <c r="AS530" s="729">
        <v>7</v>
      </c>
      <c r="AT530" s="728">
        <v>0</v>
      </c>
      <c r="AU530" s="730">
        <v>10</v>
      </c>
      <c r="AV530" s="731">
        <v>0.10199999999999999</v>
      </c>
      <c r="AW530" s="730">
        <v>9</v>
      </c>
      <c r="AX530" s="728">
        <v>0.183</v>
      </c>
      <c r="AY530" s="730">
        <v>7</v>
      </c>
      <c r="AZ530" s="728">
        <v>7.0000000000000007E-2</v>
      </c>
      <c r="BA530" s="730">
        <v>8</v>
      </c>
      <c r="BB530" s="733">
        <v>0.16699999999999998</v>
      </c>
      <c r="BC530" s="730">
        <v>5</v>
      </c>
      <c r="BD530" s="6"/>
    </row>
    <row r="531" spans="7:56" s="704" customFormat="1" ht="15">
      <c r="G531" s="1546"/>
      <c r="W531" s="6"/>
      <c r="X531" s="87"/>
      <c r="Y531" s="87"/>
      <c r="Z531" s="739"/>
      <c r="AA531" s="739"/>
      <c r="AB531" s="743"/>
      <c r="AC531" s="108"/>
      <c r="AD531" s="108"/>
      <c r="AE531" s="770" t="s">
        <v>2599</v>
      </c>
      <c r="AF531" s="771" t="s">
        <v>1450</v>
      </c>
      <c r="AG531" s="108"/>
      <c r="AH531" s="454" t="s">
        <v>471</v>
      </c>
      <c r="AI531" s="455">
        <v>106.01</v>
      </c>
      <c r="AJ531" s="724">
        <v>9.1639249080704477E-2</v>
      </c>
      <c r="AK531" s="725">
        <v>15</v>
      </c>
      <c r="AL531" s="726">
        <v>45958</v>
      </c>
      <c r="AM531" s="725">
        <v>14</v>
      </c>
      <c r="AN531" s="727">
        <v>0.50800000000000001</v>
      </c>
      <c r="AO531" s="725">
        <v>14</v>
      </c>
      <c r="AP531" s="727">
        <v>6.0999999999999999E-2</v>
      </c>
      <c r="AQ531" s="725">
        <v>14</v>
      </c>
      <c r="AR531" s="728">
        <v>0.86499999999999999</v>
      </c>
      <c r="AS531" s="729">
        <v>10</v>
      </c>
      <c r="AT531" s="728">
        <v>1.9E-2</v>
      </c>
      <c r="AU531" s="730">
        <v>9</v>
      </c>
      <c r="AV531" s="731">
        <v>0.11599999999999999</v>
      </c>
      <c r="AW531" s="730">
        <v>9</v>
      </c>
      <c r="AX531" s="728">
        <v>0.11</v>
      </c>
      <c r="AY531" s="730">
        <v>9</v>
      </c>
      <c r="AZ531" s="728">
        <v>1.3999999999999999E-2</v>
      </c>
      <c r="BA531" s="730">
        <v>10</v>
      </c>
      <c r="BB531" s="733">
        <v>0.13100000000000001</v>
      </c>
      <c r="BC531" s="730">
        <v>4</v>
      </c>
      <c r="BD531" s="6"/>
    </row>
    <row r="532" spans="7:56" s="704" customFormat="1" ht="15">
      <c r="G532" s="1546"/>
      <c r="W532" s="6"/>
      <c r="X532" s="87"/>
      <c r="Y532" s="87"/>
      <c r="Z532" s="739"/>
      <c r="AA532" s="739"/>
      <c r="AB532" s="743"/>
      <c r="AC532" s="108"/>
      <c r="AD532" s="108"/>
      <c r="AE532" s="770" t="s">
        <v>2600</v>
      </c>
      <c r="AF532" s="771" t="s">
        <v>1450</v>
      </c>
      <c r="AG532" s="108"/>
      <c r="AH532" s="454" t="s">
        <v>471</v>
      </c>
      <c r="AI532" s="455">
        <v>106.02</v>
      </c>
      <c r="AJ532" s="724">
        <v>9.1639249080704477E-2</v>
      </c>
      <c r="AK532" s="725">
        <v>15</v>
      </c>
      <c r="AL532" s="726">
        <v>45958</v>
      </c>
      <c r="AM532" s="725">
        <v>14</v>
      </c>
      <c r="AN532" s="727">
        <v>0.50800000000000001</v>
      </c>
      <c r="AO532" s="725">
        <v>14</v>
      </c>
      <c r="AP532" s="727">
        <v>6.0999999999999999E-2</v>
      </c>
      <c r="AQ532" s="725">
        <v>14</v>
      </c>
      <c r="AR532" s="728">
        <v>0.77400000000000002</v>
      </c>
      <c r="AS532" s="729">
        <v>9</v>
      </c>
      <c r="AT532" s="728">
        <v>8.0000000000000002E-3</v>
      </c>
      <c r="AU532" s="730">
        <v>10</v>
      </c>
      <c r="AV532" s="731">
        <v>0.14599999999999999</v>
      </c>
      <c r="AW532" s="730">
        <v>9</v>
      </c>
      <c r="AX532" s="728">
        <v>0.17300000000000001</v>
      </c>
      <c r="AY532" s="730">
        <v>8</v>
      </c>
      <c r="AZ532" s="728">
        <v>3.6000000000000004E-2</v>
      </c>
      <c r="BA532" s="730">
        <v>9</v>
      </c>
      <c r="BB532" s="733">
        <v>0.114</v>
      </c>
      <c r="BC532" s="730">
        <v>3</v>
      </c>
      <c r="BD532" s="6"/>
    </row>
    <row r="533" spans="7:56" s="704" customFormat="1" ht="15">
      <c r="G533" s="1546"/>
      <c r="W533" s="6"/>
      <c r="X533" s="87"/>
      <c r="Y533" s="87"/>
      <c r="Z533" s="739"/>
      <c r="AA533" s="739"/>
      <c r="AB533" s="743"/>
      <c r="AC533" s="108"/>
      <c r="AD533" s="108"/>
      <c r="AE533" s="770" t="s">
        <v>1343</v>
      </c>
      <c r="AF533" s="771" t="s">
        <v>653</v>
      </c>
      <c r="AG533" s="108"/>
      <c r="AH533" s="454" t="s">
        <v>471</v>
      </c>
      <c r="AI533" s="455">
        <v>107.01</v>
      </c>
      <c r="AJ533" s="724">
        <v>9.1639249080704477E-2</v>
      </c>
      <c r="AK533" s="725">
        <v>15</v>
      </c>
      <c r="AL533" s="726">
        <v>45958</v>
      </c>
      <c r="AM533" s="725">
        <v>14</v>
      </c>
      <c r="AN533" s="727">
        <v>0.50800000000000001</v>
      </c>
      <c r="AO533" s="725">
        <v>14</v>
      </c>
      <c r="AP533" s="727">
        <v>6.0999999999999999E-2</v>
      </c>
      <c r="AQ533" s="725">
        <v>14</v>
      </c>
      <c r="AR533" s="728">
        <v>0.752</v>
      </c>
      <c r="AS533" s="729">
        <v>8</v>
      </c>
      <c r="AT533" s="728">
        <v>0.02</v>
      </c>
      <c r="AU533" s="730">
        <v>9</v>
      </c>
      <c r="AV533" s="731">
        <v>0.109</v>
      </c>
      <c r="AW533" s="730">
        <v>9</v>
      </c>
      <c r="AX533" s="728">
        <v>8.4000000000000005E-2</v>
      </c>
      <c r="AY533" s="730">
        <v>9</v>
      </c>
      <c r="AZ533" s="728">
        <v>4.2000000000000003E-2</v>
      </c>
      <c r="BA533" s="730">
        <v>9</v>
      </c>
      <c r="BB533" s="733">
        <v>8.5999999999999993E-2</v>
      </c>
      <c r="BC533" s="730">
        <v>3</v>
      </c>
      <c r="BD533" s="6"/>
    </row>
    <row r="534" spans="7:56" s="704" customFormat="1" ht="15">
      <c r="G534" s="1546"/>
      <c r="W534" s="6"/>
      <c r="X534" s="87"/>
      <c r="Y534" s="87"/>
      <c r="Z534" s="739"/>
      <c r="AA534" s="739"/>
      <c r="AB534" s="743"/>
      <c r="AC534" s="108"/>
      <c r="AD534" s="108"/>
      <c r="AE534" s="770" t="s">
        <v>1344</v>
      </c>
      <c r="AF534" s="771" t="s">
        <v>653</v>
      </c>
      <c r="AG534" s="108"/>
      <c r="AH534" s="454" t="s">
        <v>471</v>
      </c>
      <c r="AI534" s="455">
        <v>107.02</v>
      </c>
      <c r="AJ534" s="724">
        <v>9.1639249080704477E-2</v>
      </c>
      <c r="AK534" s="725">
        <v>15</v>
      </c>
      <c r="AL534" s="726">
        <v>45958</v>
      </c>
      <c r="AM534" s="725">
        <v>14</v>
      </c>
      <c r="AN534" s="727">
        <v>0.50800000000000001</v>
      </c>
      <c r="AO534" s="725">
        <v>14</v>
      </c>
      <c r="AP534" s="727">
        <v>6.0999999999999999E-2</v>
      </c>
      <c r="AQ534" s="725">
        <v>14</v>
      </c>
      <c r="AR534" s="728">
        <v>0.77099999999999991</v>
      </c>
      <c r="AS534" s="729">
        <v>9</v>
      </c>
      <c r="AT534" s="728">
        <v>0</v>
      </c>
      <c r="AU534" s="730">
        <v>10</v>
      </c>
      <c r="AV534" s="731">
        <v>0.11599999999999999</v>
      </c>
      <c r="AW534" s="730">
        <v>9</v>
      </c>
      <c r="AX534" s="728">
        <v>0.14099999999999999</v>
      </c>
      <c r="AY534" s="730">
        <v>8</v>
      </c>
      <c r="AZ534" s="728">
        <v>2.7999999999999997E-2</v>
      </c>
      <c r="BA534" s="730">
        <v>10</v>
      </c>
      <c r="BB534" s="733">
        <v>0.14800000000000002</v>
      </c>
      <c r="BC534" s="730">
        <v>4</v>
      </c>
      <c r="BD534" s="6"/>
    </row>
    <row r="535" spans="7:56" s="704" customFormat="1" ht="15">
      <c r="G535" s="1546"/>
      <c r="W535" s="6"/>
      <c r="X535" s="87"/>
      <c r="Y535" s="87"/>
      <c r="Z535" s="739"/>
      <c r="AA535" s="739"/>
      <c r="AB535" s="743"/>
      <c r="AC535" s="108"/>
      <c r="AD535" s="108"/>
      <c r="AE535" s="770" t="s">
        <v>2601</v>
      </c>
      <c r="AF535" s="771" t="s">
        <v>653</v>
      </c>
      <c r="AG535" s="108"/>
      <c r="AH535" s="454" t="s">
        <v>471</v>
      </c>
      <c r="AI535" s="455">
        <v>108</v>
      </c>
      <c r="AJ535" s="724">
        <v>9.1639249080704477E-2</v>
      </c>
      <c r="AK535" s="725">
        <v>15</v>
      </c>
      <c r="AL535" s="726">
        <v>45958</v>
      </c>
      <c r="AM535" s="725">
        <v>14</v>
      </c>
      <c r="AN535" s="727">
        <v>0.50800000000000001</v>
      </c>
      <c r="AO535" s="725">
        <v>14</v>
      </c>
      <c r="AP535" s="727">
        <v>6.0999999999999999E-2</v>
      </c>
      <c r="AQ535" s="725">
        <v>14</v>
      </c>
      <c r="AR535" s="728">
        <v>0.90099999999999991</v>
      </c>
      <c r="AS535" s="729">
        <v>10</v>
      </c>
      <c r="AT535" s="728">
        <v>1.8000000000000002E-2</v>
      </c>
      <c r="AU535" s="730">
        <v>9</v>
      </c>
      <c r="AV535" s="731">
        <v>0.156</v>
      </c>
      <c r="AW535" s="730">
        <v>8</v>
      </c>
      <c r="AX535" s="728">
        <v>0.13300000000000001</v>
      </c>
      <c r="AY535" s="730">
        <v>8</v>
      </c>
      <c r="AZ535" s="728">
        <v>5.0999999999999997E-2</v>
      </c>
      <c r="BA535" s="730">
        <v>9</v>
      </c>
      <c r="BB535" s="733">
        <v>7.2999999999999995E-2</v>
      </c>
      <c r="BC535" s="730">
        <v>2</v>
      </c>
      <c r="BD535" s="6"/>
    </row>
    <row r="536" spans="7:56" s="704" customFormat="1" ht="15">
      <c r="G536" s="1546"/>
      <c r="W536" s="6"/>
      <c r="X536" s="87"/>
      <c r="Y536" s="87"/>
      <c r="Z536" s="739"/>
      <c r="AA536" s="739"/>
      <c r="AB536" s="743"/>
      <c r="AC536" s="108"/>
      <c r="AD536" s="108"/>
      <c r="AE536" s="770" t="s">
        <v>1345</v>
      </c>
      <c r="AF536" s="771" t="s">
        <v>653</v>
      </c>
      <c r="AG536" s="108"/>
      <c r="AH536" s="454" t="s">
        <v>471</v>
      </c>
      <c r="AI536" s="455">
        <v>109.01</v>
      </c>
      <c r="AJ536" s="724">
        <v>9.1639249080704477E-2</v>
      </c>
      <c r="AK536" s="725">
        <v>15</v>
      </c>
      <c r="AL536" s="726">
        <v>45958</v>
      </c>
      <c r="AM536" s="725">
        <v>14</v>
      </c>
      <c r="AN536" s="727">
        <v>0.50800000000000001</v>
      </c>
      <c r="AO536" s="725">
        <v>14</v>
      </c>
      <c r="AP536" s="727">
        <v>6.0999999999999999E-2</v>
      </c>
      <c r="AQ536" s="725">
        <v>14</v>
      </c>
      <c r="AR536" s="728">
        <v>0.871</v>
      </c>
      <c r="AS536" s="729">
        <v>10</v>
      </c>
      <c r="AT536" s="728">
        <v>0</v>
      </c>
      <c r="AU536" s="730">
        <v>10</v>
      </c>
      <c r="AV536" s="731">
        <v>7.5999999999999998E-2</v>
      </c>
      <c r="AW536" s="730">
        <v>10</v>
      </c>
      <c r="AX536" s="728">
        <v>7.2000000000000008E-2</v>
      </c>
      <c r="AY536" s="730">
        <v>9</v>
      </c>
      <c r="AZ536" s="728">
        <v>5.2999999999999999E-2</v>
      </c>
      <c r="BA536" s="730">
        <v>9</v>
      </c>
      <c r="BB536" s="733">
        <v>0.11900000000000001</v>
      </c>
      <c r="BC536" s="730">
        <v>4</v>
      </c>
      <c r="BD536" s="6"/>
    </row>
    <row r="537" spans="7:56" s="704" customFormat="1" ht="15">
      <c r="G537" s="1546"/>
      <c r="W537" s="6"/>
      <c r="X537" s="87"/>
      <c r="Y537" s="87"/>
      <c r="Z537" s="739"/>
      <c r="AA537" s="739"/>
      <c r="AB537" s="743"/>
      <c r="AC537" s="108"/>
      <c r="AD537" s="108"/>
      <c r="AE537" s="770" t="s">
        <v>1346</v>
      </c>
      <c r="AF537" s="771" t="s">
        <v>1450</v>
      </c>
      <c r="AG537" s="108"/>
      <c r="AH537" s="454" t="s">
        <v>471</v>
      </c>
      <c r="AI537" s="455">
        <v>109.02</v>
      </c>
      <c r="AJ537" s="724">
        <v>9.1639249080704477E-2</v>
      </c>
      <c r="AK537" s="725">
        <v>15</v>
      </c>
      <c r="AL537" s="726">
        <v>45958</v>
      </c>
      <c r="AM537" s="725">
        <v>14</v>
      </c>
      <c r="AN537" s="727">
        <v>0.50800000000000001</v>
      </c>
      <c r="AO537" s="725">
        <v>14</v>
      </c>
      <c r="AP537" s="727">
        <v>6.0999999999999999E-2</v>
      </c>
      <c r="AQ537" s="725">
        <v>14</v>
      </c>
      <c r="AR537" s="728">
        <v>0.70599999999999996</v>
      </c>
      <c r="AS537" s="729">
        <v>8</v>
      </c>
      <c r="AT537" s="728">
        <v>4.2000000000000003E-2</v>
      </c>
      <c r="AU537" s="730">
        <v>7</v>
      </c>
      <c r="AV537" s="731">
        <v>0.247</v>
      </c>
      <c r="AW537" s="730">
        <v>7</v>
      </c>
      <c r="AX537" s="728">
        <v>0.28499999999999998</v>
      </c>
      <c r="AY537" s="730">
        <v>6</v>
      </c>
      <c r="AZ537" s="728">
        <v>6.6000000000000003E-2</v>
      </c>
      <c r="BA537" s="730">
        <v>8</v>
      </c>
      <c r="BB537" s="733">
        <v>0.14800000000000002</v>
      </c>
      <c r="BC537" s="730">
        <v>4</v>
      </c>
      <c r="BD537" s="6"/>
    </row>
    <row r="538" spans="7:56" s="704" customFormat="1" ht="15">
      <c r="G538" s="1546"/>
      <c r="W538" s="6"/>
      <c r="X538" s="87"/>
      <c r="Y538" s="87"/>
      <c r="Z538" s="739"/>
      <c r="AA538" s="739"/>
      <c r="AB538" s="743"/>
      <c r="AC538" s="108"/>
      <c r="AD538" s="108"/>
      <c r="AE538" s="770" t="s">
        <v>2602</v>
      </c>
      <c r="AF538" s="771" t="s">
        <v>1450</v>
      </c>
      <c r="AG538" s="108"/>
      <c r="AH538" s="454" t="s">
        <v>471</v>
      </c>
      <c r="AI538" s="455">
        <v>110</v>
      </c>
      <c r="AJ538" s="724">
        <v>9.1639249080704477E-2</v>
      </c>
      <c r="AK538" s="725">
        <v>15</v>
      </c>
      <c r="AL538" s="726">
        <v>45958</v>
      </c>
      <c r="AM538" s="725">
        <v>14</v>
      </c>
      <c r="AN538" s="727">
        <v>0.50800000000000001</v>
      </c>
      <c r="AO538" s="725">
        <v>14</v>
      </c>
      <c r="AP538" s="727">
        <v>6.0999999999999999E-2</v>
      </c>
      <c r="AQ538" s="725">
        <v>14</v>
      </c>
      <c r="AR538" s="728">
        <v>0.42200000000000004</v>
      </c>
      <c r="AS538" s="729">
        <v>5</v>
      </c>
      <c r="AT538" s="728">
        <v>2.2000000000000002E-2</v>
      </c>
      <c r="AU538" s="730">
        <v>8</v>
      </c>
      <c r="AV538" s="731">
        <v>0.217</v>
      </c>
      <c r="AW538" s="730">
        <v>8</v>
      </c>
      <c r="AX538" s="728">
        <v>0.255</v>
      </c>
      <c r="AY538" s="730">
        <v>6</v>
      </c>
      <c r="AZ538" s="728">
        <v>7.0999999999999994E-2</v>
      </c>
      <c r="BA538" s="730">
        <v>8</v>
      </c>
      <c r="BB538" s="733">
        <v>0.14599999999999999</v>
      </c>
      <c r="BC538" s="730">
        <v>4</v>
      </c>
      <c r="BD538" s="6"/>
    </row>
    <row r="539" spans="7:56" s="704" customFormat="1" ht="15">
      <c r="G539" s="1546"/>
      <c r="W539" s="6"/>
      <c r="X539" s="87"/>
      <c r="Y539" s="87"/>
      <c r="Z539" s="739"/>
      <c r="AA539" s="739"/>
      <c r="AB539" s="743"/>
      <c r="AC539" s="108"/>
      <c r="AD539" s="108"/>
      <c r="AE539" s="770" t="s">
        <v>1347</v>
      </c>
      <c r="AF539" s="771" t="s">
        <v>652</v>
      </c>
      <c r="AG539" s="108"/>
      <c r="AH539" s="454" t="s">
        <v>472</v>
      </c>
      <c r="AI539" s="455">
        <v>28</v>
      </c>
      <c r="AJ539" s="724">
        <v>6.9542820347714099E-2</v>
      </c>
      <c r="AK539" s="725">
        <v>18</v>
      </c>
      <c r="AL539" s="726">
        <v>40045</v>
      </c>
      <c r="AM539" s="725">
        <v>16</v>
      </c>
      <c r="AN539" s="727">
        <v>0.45500000000000002</v>
      </c>
      <c r="AO539" s="725">
        <v>10</v>
      </c>
      <c r="AP539" s="727">
        <v>0.11599999999999999</v>
      </c>
      <c r="AQ539" s="725">
        <v>10</v>
      </c>
      <c r="AR539" s="728">
        <v>0.86900000000000011</v>
      </c>
      <c r="AS539" s="729">
        <v>10</v>
      </c>
      <c r="AT539" s="728">
        <v>3.9000000000000007E-2</v>
      </c>
      <c r="AU539" s="730">
        <v>7</v>
      </c>
      <c r="AV539" s="731">
        <v>0.20600000000000002</v>
      </c>
      <c r="AW539" s="730">
        <v>8</v>
      </c>
      <c r="AX539" s="728">
        <v>0.28000000000000003</v>
      </c>
      <c r="AY539" s="730">
        <v>6</v>
      </c>
      <c r="AZ539" s="728">
        <v>0.18100000000000002</v>
      </c>
      <c r="BA539" s="730">
        <v>4</v>
      </c>
      <c r="BB539" s="733">
        <v>5.7999999999999996E-2</v>
      </c>
      <c r="BC539" s="730">
        <v>2</v>
      </c>
      <c r="BD539" s="6"/>
    </row>
    <row r="540" spans="7:56" s="704" customFormat="1" ht="15">
      <c r="G540" s="1546"/>
      <c r="W540" s="6"/>
      <c r="X540" s="87"/>
      <c r="Y540" s="87"/>
      <c r="Z540" s="739"/>
      <c r="AA540" s="739"/>
      <c r="AB540" s="743"/>
      <c r="AC540" s="108"/>
      <c r="AD540" s="108"/>
      <c r="AE540" s="770" t="s">
        <v>1348</v>
      </c>
      <c r="AF540" s="771" t="s">
        <v>1450</v>
      </c>
      <c r="AG540" s="108"/>
      <c r="AH540" s="454" t="s">
        <v>472</v>
      </c>
      <c r="AI540" s="455">
        <v>29.01</v>
      </c>
      <c r="AJ540" s="724">
        <v>6.9542820347714099E-2</v>
      </c>
      <c r="AK540" s="725">
        <v>18</v>
      </c>
      <c r="AL540" s="726">
        <v>40045</v>
      </c>
      <c r="AM540" s="725">
        <v>16</v>
      </c>
      <c r="AN540" s="727">
        <v>0.45500000000000002</v>
      </c>
      <c r="AO540" s="725">
        <v>10</v>
      </c>
      <c r="AP540" s="727">
        <v>0.11599999999999999</v>
      </c>
      <c r="AQ540" s="725">
        <v>10</v>
      </c>
      <c r="AR540" s="728">
        <v>0.81799999999999995</v>
      </c>
      <c r="AS540" s="729">
        <v>9</v>
      </c>
      <c r="AT540" s="728">
        <v>3.4000000000000002E-2</v>
      </c>
      <c r="AU540" s="730">
        <v>7</v>
      </c>
      <c r="AV540" s="731">
        <v>0.24199999999999999</v>
      </c>
      <c r="AW540" s="730">
        <v>7</v>
      </c>
      <c r="AX540" s="728">
        <v>0.309</v>
      </c>
      <c r="AY540" s="730">
        <v>5</v>
      </c>
      <c r="AZ540" s="728">
        <v>0.13600000000000001</v>
      </c>
      <c r="BA540" s="730">
        <v>6</v>
      </c>
      <c r="BB540" s="733">
        <v>3.1E-2</v>
      </c>
      <c r="BC540" s="730">
        <v>1</v>
      </c>
      <c r="BD540" s="6"/>
    </row>
    <row r="541" spans="7:56" s="704" customFormat="1" ht="15">
      <c r="G541" s="1546"/>
      <c r="W541" s="6"/>
      <c r="X541" s="87"/>
      <c r="Y541" s="87"/>
      <c r="Z541" s="739"/>
      <c r="AA541" s="739"/>
      <c r="AB541" s="743"/>
      <c r="AC541" s="108"/>
      <c r="AD541" s="108"/>
      <c r="AE541" s="770" t="s">
        <v>1349</v>
      </c>
      <c r="AF541" s="771" t="s">
        <v>1450</v>
      </c>
      <c r="AG541" s="108"/>
      <c r="AH541" s="454" t="s">
        <v>472</v>
      </c>
      <c r="AI541" s="455">
        <v>29.02</v>
      </c>
      <c r="AJ541" s="724">
        <v>6.9542820347714099E-2</v>
      </c>
      <c r="AK541" s="725">
        <v>18</v>
      </c>
      <c r="AL541" s="726">
        <v>40045</v>
      </c>
      <c r="AM541" s="725">
        <v>16</v>
      </c>
      <c r="AN541" s="727">
        <v>0.45500000000000002</v>
      </c>
      <c r="AO541" s="725">
        <v>10</v>
      </c>
      <c r="AP541" s="727">
        <v>0.11599999999999999</v>
      </c>
      <c r="AQ541" s="725">
        <v>10</v>
      </c>
      <c r="AR541" s="728">
        <v>0.80299999999999994</v>
      </c>
      <c r="AS541" s="729">
        <v>9</v>
      </c>
      <c r="AT541" s="728">
        <v>1.2E-2</v>
      </c>
      <c r="AU541" s="730">
        <v>9</v>
      </c>
      <c r="AV541" s="731">
        <v>0.20600000000000002</v>
      </c>
      <c r="AW541" s="730">
        <v>8</v>
      </c>
      <c r="AX541" s="728">
        <v>0.29299999999999998</v>
      </c>
      <c r="AY541" s="730">
        <v>6</v>
      </c>
      <c r="AZ541" s="728">
        <v>0.10300000000000001</v>
      </c>
      <c r="BA541" s="730">
        <v>7</v>
      </c>
      <c r="BB541" s="733">
        <v>3.9E-2</v>
      </c>
      <c r="BC541" s="730">
        <v>2</v>
      </c>
      <c r="BD541" s="6"/>
    </row>
    <row r="542" spans="7:56" s="704" customFormat="1" ht="15">
      <c r="G542" s="1546"/>
      <c r="W542" s="6"/>
      <c r="X542" s="87"/>
      <c r="Y542" s="87"/>
      <c r="Z542" s="739"/>
      <c r="AA542" s="739"/>
      <c r="AB542" s="743"/>
      <c r="AC542" s="108"/>
      <c r="AD542" s="108"/>
      <c r="AE542" s="770" t="s">
        <v>1350</v>
      </c>
      <c r="AF542" s="771" t="s">
        <v>1450</v>
      </c>
      <c r="AG542" s="108"/>
      <c r="AH542" s="454" t="s">
        <v>472</v>
      </c>
      <c r="AI542" s="455">
        <v>30</v>
      </c>
      <c r="AJ542" s="724">
        <v>6.9542820347714099E-2</v>
      </c>
      <c r="AK542" s="725">
        <v>18</v>
      </c>
      <c r="AL542" s="726">
        <v>40045</v>
      </c>
      <c r="AM542" s="725">
        <v>16</v>
      </c>
      <c r="AN542" s="727">
        <v>0.45500000000000002</v>
      </c>
      <c r="AO542" s="725">
        <v>10</v>
      </c>
      <c r="AP542" s="727">
        <v>0.11599999999999999</v>
      </c>
      <c r="AQ542" s="725">
        <v>10</v>
      </c>
      <c r="AR542" s="728">
        <v>0.80900000000000005</v>
      </c>
      <c r="AS542" s="729">
        <v>9</v>
      </c>
      <c r="AT542" s="728">
        <v>0</v>
      </c>
      <c r="AU542" s="730">
        <v>10</v>
      </c>
      <c r="AV542" s="731">
        <v>0.23</v>
      </c>
      <c r="AW542" s="730">
        <v>7</v>
      </c>
      <c r="AX542" s="728">
        <v>0.35799999999999998</v>
      </c>
      <c r="AY542" s="730">
        <v>5</v>
      </c>
      <c r="AZ542" s="728">
        <v>0.159</v>
      </c>
      <c r="BA542" s="730">
        <v>5</v>
      </c>
      <c r="BB542" s="733">
        <v>3.9E-2</v>
      </c>
      <c r="BC542" s="730">
        <v>2</v>
      </c>
      <c r="BD542" s="6"/>
    </row>
    <row r="543" spans="7:56" s="704" customFormat="1" ht="15">
      <c r="G543" s="1546"/>
      <c r="W543" s="6"/>
      <c r="X543" s="87"/>
      <c r="Y543" s="87"/>
      <c r="Z543" s="739"/>
      <c r="AA543" s="739"/>
      <c r="AB543" s="743"/>
      <c r="AC543" s="108"/>
      <c r="AD543" s="108"/>
      <c r="AE543" s="770" t="s">
        <v>2603</v>
      </c>
      <c r="AF543" s="771" t="s">
        <v>652</v>
      </c>
      <c r="AG543" s="108"/>
      <c r="AH543" s="454" t="s">
        <v>472</v>
      </c>
      <c r="AI543" s="455">
        <v>31</v>
      </c>
      <c r="AJ543" s="724">
        <v>6.9542820347714099E-2</v>
      </c>
      <c r="AK543" s="725">
        <v>18</v>
      </c>
      <c r="AL543" s="726">
        <v>40045</v>
      </c>
      <c r="AM543" s="725">
        <v>16</v>
      </c>
      <c r="AN543" s="727">
        <v>0.45500000000000002</v>
      </c>
      <c r="AO543" s="725">
        <v>10</v>
      </c>
      <c r="AP543" s="727">
        <v>0.11599999999999999</v>
      </c>
      <c r="AQ543" s="725">
        <v>10</v>
      </c>
      <c r="AR543" s="728">
        <v>0.80700000000000005</v>
      </c>
      <c r="AS543" s="729">
        <v>9</v>
      </c>
      <c r="AT543" s="728">
        <v>2.2000000000000002E-2</v>
      </c>
      <c r="AU543" s="730">
        <v>8</v>
      </c>
      <c r="AV543" s="731">
        <v>0.245</v>
      </c>
      <c r="AW543" s="730">
        <v>7</v>
      </c>
      <c r="AX543" s="728">
        <v>0.17800000000000002</v>
      </c>
      <c r="AY543" s="730">
        <v>8</v>
      </c>
      <c r="AZ543" s="728">
        <v>0.11900000000000001</v>
      </c>
      <c r="BA543" s="730">
        <v>6</v>
      </c>
      <c r="BB543" s="733">
        <v>4.0999999999999995E-2</v>
      </c>
      <c r="BC543" s="730">
        <v>2</v>
      </c>
      <c r="BD543" s="6"/>
    </row>
    <row r="544" spans="7:56" s="704" customFormat="1" ht="15">
      <c r="G544" s="1546"/>
      <c r="W544" s="6"/>
      <c r="X544" s="87"/>
      <c r="Y544" s="87"/>
      <c r="Z544" s="739"/>
      <c r="AA544" s="739"/>
      <c r="AB544" s="743"/>
      <c r="AC544" s="108"/>
      <c r="AD544" s="108"/>
      <c r="AE544" s="770" t="s">
        <v>2604</v>
      </c>
      <c r="AF544" s="771" t="s">
        <v>653</v>
      </c>
      <c r="AG544" s="108"/>
      <c r="AH544" s="454" t="s">
        <v>472</v>
      </c>
      <c r="AI544" s="455">
        <v>32</v>
      </c>
      <c r="AJ544" s="724">
        <v>6.9542820347714099E-2</v>
      </c>
      <c r="AK544" s="725">
        <v>18</v>
      </c>
      <c r="AL544" s="726">
        <v>40045</v>
      </c>
      <c r="AM544" s="725">
        <v>16</v>
      </c>
      <c r="AN544" s="727">
        <v>0.45500000000000002</v>
      </c>
      <c r="AO544" s="725">
        <v>10</v>
      </c>
      <c r="AP544" s="727">
        <v>0.11599999999999999</v>
      </c>
      <c r="AQ544" s="725">
        <v>10</v>
      </c>
      <c r="AR544" s="728">
        <v>0.84400000000000008</v>
      </c>
      <c r="AS544" s="729">
        <v>9</v>
      </c>
      <c r="AT544" s="728">
        <v>6.9999999999999993E-3</v>
      </c>
      <c r="AU544" s="730">
        <v>10</v>
      </c>
      <c r="AV544" s="731">
        <v>0.17499999999999999</v>
      </c>
      <c r="AW544" s="730">
        <v>8</v>
      </c>
      <c r="AX544" s="728">
        <v>0.18</v>
      </c>
      <c r="AY544" s="730">
        <v>8</v>
      </c>
      <c r="AZ544" s="728">
        <v>0.12</v>
      </c>
      <c r="BA544" s="730">
        <v>6</v>
      </c>
      <c r="BB544" s="733">
        <v>9.3000000000000013E-2</v>
      </c>
      <c r="BC544" s="730">
        <v>3</v>
      </c>
      <c r="BD544" s="6"/>
    </row>
    <row r="545" spans="31:32">
      <c r="AE545" s="770" t="s">
        <v>2605</v>
      </c>
      <c r="AF545" s="771" t="s">
        <v>1450</v>
      </c>
    </row>
    <row r="546" spans="31:32">
      <c r="AE546" s="770" t="s">
        <v>1351</v>
      </c>
      <c r="AF546" s="771" t="s">
        <v>1450</v>
      </c>
    </row>
    <row r="547" spans="31:32">
      <c r="AE547" s="770" t="s">
        <v>1352</v>
      </c>
      <c r="AF547" s="771" t="s">
        <v>1450</v>
      </c>
    </row>
    <row r="548" spans="31:32">
      <c r="AE548" s="770" t="s">
        <v>1353</v>
      </c>
      <c r="AF548" s="771" t="s">
        <v>653</v>
      </c>
    </row>
    <row r="549" spans="31:32">
      <c r="AE549" s="770" t="s">
        <v>1354</v>
      </c>
      <c r="AF549" s="771" t="s">
        <v>653</v>
      </c>
    </row>
    <row r="550" spans="31:32">
      <c r="AE550" s="770" t="s">
        <v>1355</v>
      </c>
      <c r="AF550" s="771" t="s">
        <v>652</v>
      </c>
    </row>
    <row r="551" spans="31:32">
      <c r="AE551" s="770" t="s">
        <v>1356</v>
      </c>
      <c r="AF551" s="771" t="s">
        <v>1450</v>
      </c>
    </row>
    <row r="552" spans="31:32">
      <c r="AE552" s="770" t="s">
        <v>1357</v>
      </c>
      <c r="AF552" s="771" t="s">
        <v>1450</v>
      </c>
    </row>
    <row r="553" spans="31:32">
      <c r="AE553" s="770" t="s">
        <v>1358</v>
      </c>
      <c r="AF553" s="771" t="s">
        <v>653</v>
      </c>
    </row>
    <row r="554" spans="31:32">
      <c r="AE554" s="770" t="s">
        <v>1359</v>
      </c>
      <c r="AF554" s="771" t="s">
        <v>653</v>
      </c>
    </row>
    <row r="555" spans="31:32">
      <c r="AE555" s="770" t="s">
        <v>1360</v>
      </c>
      <c r="AF555" s="771" t="s">
        <v>1450</v>
      </c>
    </row>
    <row r="556" spans="31:32">
      <c r="AE556" s="770" t="s">
        <v>1361</v>
      </c>
      <c r="AF556" s="771" t="s">
        <v>652</v>
      </c>
    </row>
    <row r="557" spans="31:32">
      <c r="AE557" s="770" t="s">
        <v>1362</v>
      </c>
      <c r="AF557" s="771" t="s">
        <v>653</v>
      </c>
    </row>
    <row r="558" spans="31:32">
      <c r="AE558" s="770" t="s">
        <v>1363</v>
      </c>
      <c r="AF558" s="771" t="s">
        <v>1450</v>
      </c>
    </row>
    <row r="559" spans="31:32">
      <c r="AE559" s="770" t="s">
        <v>1364</v>
      </c>
      <c r="AF559" s="771" t="s">
        <v>1450</v>
      </c>
    </row>
    <row r="560" spans="31:32">
      <c r="AE560" s="770" t="s">
        <v>1365</v>
      </c>
      <c r="AF560" s="771" t="s">
        <v>653</v>
      </c>
    </row>
    <row r="561" spans="31:32">
      <c r="AE561" s="770" t="s">
        <v>1366</v>
      </c>
      <c r="AF561" s="771" t="s">
        <v>1450</v>
      </c>
    </row>
    <row r="562" spans="31:32">
      <c r="AE562" s="770" t="s">
        <v>1367</v>
      </c>
      <c r="AF562" s="771" t="s">
        <v>653</v>
      </c>
    </row>
    <row r="563" spans="31:32">
      <c r="AE563" s="770" t="s">
        <v>2606</v>
      </c>
      <c r="AF563" s="771" t="s">
        <v>1450</v>
      </c>
    </row>
    <row r="564" spans="31:32">
      <c r="AE564" s="770" t="s">
        <v>2607</v>
      </c>
      <c r="AF564" s="771" t="s">
        <v>1450</v>
      </c>
    </row>
    <row r="565" spans="31:32">
      <c r="AE565" s="770" t="s">
        <v>1368</v>
      </c>
      <c r="AF565" s="771" t="s">
        <v>1450</v>
      </c>
    </row>
    <row r="566" spans="31:32">
      <c r="AE566" s="770" t="s">
        <v>1369</v>
      </c>
      <c r="AF566" s="771" t="s">
        <v>1450</v>
      </c>
    </row>
    <row r="567" spans="31:32">
      <c r="AE567" s="770" t="s">
        <v>1370</v>
      </c>
      <c r="AF567" s="771" t="s">
        <v>1450</v>
      </c>
    </row>
    <row r="568" spans="31:32">
      <c r="AE568" s="770" t="s">
        <v>1371</v>
      </c>
      <c r="AF568" s="771" t="s">
        <v>1450</v>
      </c>
    </row>
    <row r="569" spans="31:32">
      <c r="AE569" s="770" t="s">
        <v>1372</v>
      </c>
      <c r="AF569" s="771" t="s">
        <v>653</v>
      </c>
    </row>
    <row r="570" spans="31:32">
      <c r="AE570" s="770" t="s">
        <v>1373</v>
      </c>
      <c r="AF570" s="771" t="s">
        <v>1450</v>
      </c>
    </row>
    <row r="571" spans="31:32">
      <c r="AE571" s="770" t="s">
        <v>1374</v>
      </c>
      <c r="AF571" s="771" t="s">
        <v>653</v>
      </c>
    </row>
    <row r="572" spans="31:32">
      <c r="AE572" s="770" t="s">
        <v>1776</v>
      </c>
      <c r="AF572" s="771" t="s">
        <v>1450</v>
      </c>
    </row>
    <row r="573" spans="31:32">
      <c r="AE573" s="770" t="s">
        <v>2608</v>
      </c>
      <c r="AF573" s="771" t="s">
        <v>653</v>
      </c>
    </row>
    <row r="574" spans="31:32">
      <c r="AE574" s="770" t="s">
        <v>2609</v>
      </c>
      <c r="AF574" s="771" t="s">
        <v>1450</v>
      </c>
    </row>
    <row r="575" spans="31:32">
      <c r="AE575" s="770" t="s">
        <v>2610</v>
      </c>
      <c r="AF575" s="771" t="s">
        <v>653</v>
      </c>
    </row>
    <row r="576" spans="31:32">
      <c r="AE576" s="770" t="s">
        <v>1375</v>
      </c>
      <c r="AF576" s="771" t="s">
        <v>1450</v>
      </c>
    </row>
    <row r="577" spans="31:32">
      <c r="AE577" s="770" t="s">
        <v>1376</v>
      </c>
      <c r="AF577" s="771" t="s">
        <v>1450</v>
      </c>
    </row>
    <row r="578" spans="31:32">
      <c r="AE578" s="770" t="s">
        <v>1377</v>
      </c>
      <c r="AF578" s="771" t="s">
        <v>1450</v>
      </c>
    </row>
    <row r="579" spans="31:32">
      <c r="AE579" s="770" t="s">
        <v>2611</v>
      </c>
      <c r="AF579" s="771" t="s">
        <v>1450</v>
      </c>
    </row>
    <row r="580" spans="31:32">
      <c r="AE580" s="770" t="s">
        <v>1378</v>
      </c>
      <c r="AF580" s="771" t="s">
        <v>653</v>
      </c>
    </row>
    <row r="581" spans="31:32">
      <c r="AE581" s="770" t="s">
        <v>1379</v>
      </c>
      <c r="AF581" s="771" t="s">
        <v>1450</v>
      </c>
    </row>
    <row r="582" spans="31:32">
      <c r="AE582" s="770" t="s">
        <v>2796</v>
      </c>
      <c r="AF582" s="771" t="s">
        <v>653</v>
      </c>
    </row>
    <row r="583" spans="31:32">
      <c r="AE583" s="770" t="s">
        <v>2612</v>
      </c>
      <c r="AF583" s="771" t="s">
        <v>653</v>
      </c>
    </row>
    <row r="584" spans="31:32">
      <c r="AE584" s="770" t="s">
        <v>2613</v>
      </c>
      <c r="AF584" s="771" t="s">
        <v>653</v>
      </c>
    </row>
    <row r="585" spans="31:32">
      <c r="AE585" s="770" t="s">
        <v>2614</v>
      </c>
      <c r="AF585" s="771" t="s">
        <v>653</v>
      </c>
    </row>
    <row r="586" spans="31:32">
      <c r="AE586" s="770" t="s">
        <v>2615</v>
      </c>
      <c r="AF586" s="771" t="s">
        <v>652</v>
      </c>
    </row>
    <row r="587" spans="31:32">
      <c r="AE587" s="770" t="s">
        <v>1380</v>
      </c>
      <c r="AF587" s="771" t="s">
        <v>1450</v>
      </c>
    </row>
    <row r="588" spans="31:32">
      <c r="AE588" s="770" t="s">
        <v>2616</v>
      </c>
      <c r="AF588" s="771" t="s">
        <v>653</v>
      </c>
    </row>
    <row r="589" spans="31:32">
      <c r="AE589" s="770" t="s">
        <v>2617</v>
      </c>
      <c r="AF589" s="771" t="s">
        <v>1450</v>
      </c>
    </row>
    <row r="590" spans="31:32">
      <c r="AE590" s="770" t="s">
        <v>1381</v>
      </c>
      <c r="AF590" s="771" t="s">
        <v>1450</v>
      </c>
    </row>
    <row r="591" spans="31:32">
      <c r="AE591" s="770" t="s">
        <v>1382</v>
      </c>
      <c r="AF591" s="771" t="s">
        <v>1450</v>
      </c>
    </row>
    <row r="592" spans="31:32">
      <c r="AE592" s="770" t="s">
        <v>1383</v>
      </c>
      <c r="AF592" s="771" t="s">
        <v>1450</v>
      </c>
    </row>
    <row r="593" spans="31:32">
      <c r="AE593" s="770" t="s">
        <v>1384</v>
      </c>
      <c r="AF593" s="771" t="s">
        <v>1450</v>
      </c>
    </row>
    <row r="594" spans="31:32">
      <c r="AE594" s="770" t="s">
        <v>1385</v>
      </c>
      <c r="AF594" s="771" t="s">
        <v>653</v>
      </c>
    </row>
    <row r="595" spans="31:32">
      <c r="AE595" s="770" t="s">
        <v>2618</v>
      </c>
      <c r="AF595" s="771" t="s">
        <v>652</v>
      </c>
    </row>
    <row r="596" spans="31:32">
      <c r="AE596" s="770" t="s">
        <v>1386</v>
      </c>
      <c r="AF596" s="771" t="s">
        <v>653</v>
      </c>
    </row>
    <row r="597" spans="31:32">
      <c r="AE597" s="770" t="s">
        <v>1387</v>
      </c>
      <c r="AF597" s="771" t="s">
        <v>1450</v>
      </c>
    </row>
    <row r="598" spans="31:32">
      <c r="AE598" s="770" t="s">
        <v>2619</v>
      </c>
      <c r="AF598" s="771" t="s">
        <v>653</v>
      </c>
    </row>
    <row r="599" spans="31:32">
      <c r="AE599" s="770" t="s">
        <v>1388</v>
      </c>
      <c r="AF599" s="771" t="s">
        <v>1450</v>
      </c>
    </row>
    <row r="600" spans="31:32">
      <c r="AE600" s="770" t="s">
        <v>1389</v>
      </c>
      <c r="AF600" s="771" t="s">
        <v>1450</v>
      </c>
    </row>
    <row r="601" spans="31:32">
      <c r="AE601" s="770" t="s">
        <v>2620</v>
      </c>
      <c r="AF601" s="771" t="s">
        <v>653</v>
      </c>
    </row>
    <row r="602" spans="31:32">
      <c r="AE602" s="770" t="s">
        <v>1390</v>
      </c>
      <c r="AF602" s="771" t="s">
        <v>1450</v>
      </c>
    </row>
    <row r="603" spans="31:32">
      <c r="AE603" s="770" t="s">
        <v>1391</v>
      </c>
      <c r="AF603" s="771" t="s">
        <v>1450</v>
      </c>
    </row>
    <row r="604" spans="31:32">
      <c r="AE604" s="770" t="s">
        <v>1392</v>
      </c>
      <c r="AF604" s="771" t="s">
        <v>653</v>
      </c>
    </row>
    <row r="605" spans="31:32">
      <c r="AE605" s="770" t="s">
        <v>1393</v>
      </c>
      <c r="AF605" s="771" t="s">
        <v>1450</v>
      </c>
    </row>
    <row r="606" spans="31:32">
      <c r="AE606" s="770" t="s">
        <v>1394</v>
      </c>
      <c r="AF606" s="771" t="s">
        <v>653</v>
      </c>
    </row>
    <row r="607" spans="31:32">
      <c r="AE607" s="770" t="s">
        <v>1395</v>
      </c>
      <c r="AF607" s="771" t="s">
        <v>1450</v>
      </c>
    </row>
    <row r="608" spans="31:32">
      <c r="AE608" s="770" t="s">
        <v>2621</v>
      </c>
      <c r="AF608" s="771" t="s">
        <v>1450</v>
      </c>
    </row>
    <row r="609" spans="31:32">
      <c r="AE609" s="770" t="s">
        <v>1396</v>
      </c>
      <c r="AF609" s="771" t="s">
        <v>653</v>
      </c>
    </row>
    <row r="610" spans="31:32">
      <c r="AE610" s="770" t="s">
        <v>1397</v>
      </c>
      <c r="AF610" s="771" t="s">
        <v>1450</v>
      </c>
    </row>
    <row r="611" spans="31:32">
      <c r="AE611" s="770" t="s">
        <v>1398</v>
      </c>
      <c r="AF611" s="771" t="s">
        <v>653</v>
      </c>
    </row>
    <row r="612" spans="31:32">
      <c r="AE612" s="770" t="s">
        <v>1399</v>
      </c>
      <c r="AF612" s="771" t="s">
        <v>1450</v>
      </c>
    </row>
    <row r="613" spans="31:32">
      <c r="AE613" s="770" t="s">
        <v>2622</v>
      </c>
      <c r="AF613" s="771" t="s">
        <v>1450</v>
      </c>
    </row>
    <row r="614" spans="31:32">
      <c r="AE614" s="770" t="s">
        <v>2623</v>
      </c>
      <c r="AF614" s="771" t="s">
        <v>653</v>
      </c>
    </row>
    <row r="615" spans="31:32">
      <c r="AE615" s="770" t="s">
        <v>1400</v>
      </c>
      <c r="AF615" s="771" t="s">
        <v>653</v>
      </c>
    </row>
    <row r="616" spans="31:32">
      <c r="AE616" s="770" t="s">
        <v>2624</v>
      </c>
      <c r="AF616" s="771" t="s">
        <v>653</v>
      </c>
    </row>
    <row r="617" spans="31:32">
      <c r="AE617" s="770" t="s">
        <v>1777</v>
      </c>
      <c r="AF617" s="771" t="s">
        <v>1450</v>
      </c>
    </row>
    <row r="618" spans="31:32">
      <c r="AE618" s="770" t="s">
        <v>1778</v>
      </c>
      <c r="AF618" s="771" t="s">
        <v>653</v>
      </c>
    </row>
    <row r="619" spans="31:32">
      <c r="AE619" s="770" t="s">
        <v>1401</v>
      </c>
      <c r="AF619" s="771" t="s">
        <v>1450</v>
      </c>
    </row>
    <row r="620" spans="31:32">
      <c r="AE620" s="770" t="s">
        <v>2625</v>
      </c>
      <c r="AF620" s="771" t="s">
        <v>653</v>
      </c>
    </row>
    <row r="621" spans="31:32">
      <c r="AE621" s="770" t="s">
        <v>1402</v>
      </c>
      <c r="AF621" s="771" t="s">
        <v>1450</v>
      </c>
    </row>
    <row r="622" spans="31:32">
      <c r="AE622" s="770" t="s">
        <v>1403</v>
      </c>
      <c r="AF622" s="771" t="s">
        <v>653</v>
      </c>
    </row>
    <row r="623" spans="31:32">
      <c r="AE623" s="770" t="s">
        <v>1404</v>
      </c>
      <c r="AF623" s="771" t="s">
        <v>653</v>
      </c>
    </row>
    <row r="624" spans="31:32">
      <c r="AE624" s="770" t="s">
        <v>2797</v>
      </c>
      <c r="AF624" s="771" t="s">
        <v>653</v>
      </c>
    </row>
    <row r="625" spans="31:32">
      <c r="AE625" s="770" t="s">
        <v>1405</v>
      </c>
      <c r="AF625" s="771" t="s">
        <v>653</v>
      </c>
    </row>
    <row r="626" spans="31:32">
      <c r="AE626" s="770" t="s">
        <v>1406</v>
      </c>
      <c r="AF626" s="771" t="s">
        <v>653</v>
      </c>
    </row>
    <row r="627" spans="31:32">
      <c r="AE627" s="770" t="s">
        <v>1407</v>
      </c>
      <c r="AF627" s="771" t="s">
        <v>1450</v>
      </c>
    </row>
    <row r="628" spans="31:32">
      <c r="AE628" s="770" t="s">
        <v>1408</v>
      </c>
      <c r="AF628" s="771" t="s">
        <v>1450</v>
      </c>
    </row>
    <row r="629" spans="31:32">
      <c r="AE629" s="770" t="s">
        <v>1409</v>
      </c>
      <c r="AF629" s="771" t="s">
        <v>1450</v>
      </c>
    </row>
    <row r="630" spans="31:32">
      <c r="AE630" s="770" t="s">
        <v>1410</v>
      </c>
      <c r="AF630" s="771" t="s">
        <v>1450</v>
      </c>
    </row>
    <row r="631" spans="31:32">
      <c r="AE631" s="770" t="s">
        <v>2626</v>
      </c>
      <c r="AF631" s="771" t="s">
        <v>653</v>
      </c>
    </row>
    <row r="632" spans="31:32">
      <c r="AE632" s="770" t="s">
        <v>1411</v>
      </c>
      <c r="AF632" s="771" t="s">
        <v>653</v>
      </c>
    </row>
    <row r="633" spans="31:32">
      <c r="AE633" s="770" t="s">
        <v>1412</v>
      </c>
      <c r="AF633" s="771" t="s">
        <v>1450</v>
      </c>
    </row>
    <row r="634" spans="31:32">
      <c r="AE634" s="770" t="s">
        <v>2627</v>
      </c>
      <c r="AF634" s="771" t="s">
        <v>653</v>
      </c>
    </row>
    <row r="635" spans="31:32">
      <c r="AE635" s="770" t="s">
        <v>1413</v>
      </c>
      <c r="AF635" s="771" t="s">
        <v>1450</v>
      </c>
    </row>
    <row r="636" spans="31:32">
      <c r="AE636" s="770" t="s">
        <v>1414</v>
      </c>
      <c r="AF636" s="771" t="s">
        <v>652</v>
      </c>
    </row>
    <row r="637" spans="31:32">
      <c r="AE637" s="770" t="s">
        <v>1415</v>
      </c>
      <c r="AF637" s="771" t="s">
        <v>653</v>
      </c>
    </row>
    <row r="638" spans="31:32">
      <c r="AE638" s="770" t="s">
        <v>1416</v>
      </c>
      <c r="AF638" s="771" t="s">
        <v>1450</v>
      </c>
    </row>
    <row r="639" spans="31:32">
      <c r="AE639" s="770" t="s">
        <v>1417</v>
      </c>
      <c r="AF639" s="771" t="s">
        <v>1450</v>
      </c>
    </row>
    <row r="640" spans="31:32">
      <c r="AE640" s="770" t="s">
        <v>1418</v>
      </c>
      <c r="AF640" s="771" t="s">
        <v>652</v>
      </c>
    </row>
    <row r="641" spans="31:32">
      <c r="AE641" s="770" t="s">
        <v>1419</v>
      </c>
      <c r="AF641" s="771" t="s">
        <v>653</v>
      </c>
    </row>
    <row r="642" spans="31:32">
      <c r="AE642" s="770" t="s">
        <v>1420</v>
      </c>
      <c r="AF642" s="771" t="s">
        <v>653</v>
      </c>
    </row>
    <row r="643" spans="31:32">
      <c r="AE643" s="770" t="s">
        <v>1421</v>
      </c>
      <c r="AF643" s="771" t="s">
        <v>1450</v>
      </c>
    </row>
    <row r="644" spans="31:32">
      <c r="AE644" s="770" t="s">
        <v>1422</v>
      </c>
      <c r="AF644" s="771" t="s">
        <v>1450</v>
      </c>
    </row>
    <row r="645" spans="31:32">
      <c r="AE645" s="770" t="s">
        <v>2628</v>
      </c>
      <c r="AF645" s="771" t="s">
        <v>653</v>
      </c>
    </row>
    <row r="646" spans="31:32">
      <c r="AE646" s="770" t="s">
        <v>1423</v>
      </c>
      <c r="AF646" s="771" t="s">
        <v>1450</v>
      </c>
    </row>
    <row r="647" spans="31:32">
      <c r="AE647" s="770" t="s">
        <v>1424</v>
      </c>
      <c r="AF647" s="771" t="s">
        <v>1450</v>
      </c>
    </row>
    <row r="648" spans="31:32">
      <c r="AE648" s="770" t="s">
        <v>2629</v>
      </c>
      <c r="AF648" s="771" t="s">
        <v>1450</v>
      </c>
    </row>
    <row r="649" spans="31:32">
      <c r="AE649" s="770" t="s">
        <v>1425</v>
      </c>
      <c r="AF649" s="771" t="s">
        <v>652</v>
      </c>
    </row>
    <row r="650" spans="31:32">
      <c r="AE650" s="770" t="s">
        <v>1426</v>
      </c>
      <c r="AF650" s="771" t="s">
        <v>653</v>
      </c>
    </row>
    <row r="651" spans="31:32">
      <c r="AE651" s="770" t="s">
        <v>2630</v>
      </c>
      <c r="AF651" s="771" t="s">
        <v>1450</v>
      </c>
    </row>
    <row r="652" spans="31:32">
      <c r="AE652" s="770" t="s">
        <v>1427</v>
      </c>
      <c r="AF652" s="771" t="s">
        <v>652</v>
      </c>
    </row>
    <row r="653" spans="31:32">
      <c r="AE653" s="770" t="s">
        <v>2631</v>
      </c>
      <c r="AF653" s="771" t="s">
        <v>652</v>
      </c>
    </row>
    <row r="654" spans="31:32">
      <c r="AE654" s="770" t="s">
        <v>1428</v>
      </c>
      <c r="AF654" s="771" t="s">
        <v>1450</v>
      </c>
    </row>
    <row r="655" spans="31:32">
      <c r="AE655" s="770" t="s">
        <v>1429</v>
      </c>
      <c r="AF655" s="771" t="s">
        <v>1450</v>
      </c>
    </row>
    <row r="656" spans="31:32">
      <c r="AE656" s="770" t="s">
        <v>1430</v>
      </c>
      <c r="AF656" s="771" t="s">
        <v>1450</v>
      </c>
    </row>
    <row r="657" spans="31:32">
      <c r="AE657" s="770" t="s">
        <v>1431</v>
      </c>
      <c r="AF657" s="771" t="s">
        <v>1450</v>
      </c>
    </row>
    <row r="658" spans="31:32">
      <c r="AE658" s="770" t="s">
        <v>1432</v>
      </c>
      <c r="AF658" s="771" t="s">
        <v>653</v>
      </c>
    </row>
    <row r="659" spans="31:32">
      <c r="AE659" s="770" t="s">
        <v>1433</v>
      </c>
      <c r="AF659" s="771" t="s">
        <v>653</v>
      </c>
    </row>
    <row r="660" spans="31:32">
      <c r="AE660" s="770" t="s">
        <v>2632</v>
      </c>
      <c r="AF660" s="771" t="s">
        <v>653</v>
      </c>
    </row>
    <row r="661" spans="31:32">
      <c r="AE661" s="770" t="s">
        <v>1434</v>
      </c>
      <c r="AF661" s="771" t="s">
        <v>653</v>
      </c>
    </row>
    <row r="662" spans="31:32">
      <c r="AE662" s="770" t="s">
        <v>1435</v>
      </c>
      <c r="AF662" s="771" t="s">
        <v>653</v>
      </c>
    </row>
    <row r="663" spans="31:32">
      <c r="AE663" s="770" t="s">
        <v>2798</v>
      </c>
      <c r="AF663" s="771" t="s">
        <v>653</v>
      </c>
    </row>
    <row r="664" spans="31:32">
      <c r="AE664" s="770" t="s">
        <v>2633</v>
      </c>
      <c r="AF664" s="771" t="s">
        <v>652</v>
      </c>
    </row>
    <row r="665" spans="31:32">
      <c r="AE665" s="770" t="s">
        <v>1436</v>
      </c>
      <c r="AF665" s="771" t="s">
        <v>653</v>
      </c>
    </row>
    <row r="666" spans="31:32">
      <c r="AE666" s="770" t="s">
        <v>1437</v>
      </c>
      <c r="AF666" s="771" t="s">
        <v>653</v>
      </c>
    </row>
    <row r="667" spans="31:32">
      <c r="AE667" s="770" t="s">
        <v>1438</v>
      </c>
      <c r="AF667" s="771" t="s">
        <v>1450</v>
      </c>
    </row>
    <row r="668" spans="31:32">
      <c r="AE668" s="770" t="s">
        <v>2634</v>
      </c>
      <c r="AF668" s="771" t="s">
        <v>653</v>
      </c>
    </row>
    <row r="669" spans="31:32">
      <c r="AE669" s="770" t="s">
        <v>1439</v>
      </c>
      <c r="AF669" s="771" t="s">
        <v>652</v>
      </c>
    </row>
    <row r="670" spans="31:32">
      <c r="AE670" s="770" t="s">
        <v>1440</v>
      </c>
      <c r="AF670" s="771" t="s">
        <v>653</v>
      </c>
    </row>
    <row r="671" spans="31:32">
      <c r="AE671" s="770" t="s">
        <v>1441</v>
      </c>
      <c r="AF671" s="771" t="s">
        <v>1450</v>
      </c>
    </row>
    <row r="672" spans="31:32">
      <c r="AE672" s="770" t="s">
        <v>1442</v>
      </c>
      <c r="AF672" s="771" t="s">
        <v>1450</v>
      </c>
    </row>
    <row r="673" spans="31:32">
      <c r="AE673" s="770" t="s">
        <v>1443</v>
      </c>
      <c r="AF673" s="771" t="s">
        <v>653</v>
      </c>
    </row>
    <row r="674" spans="31:32">
      <c r="AE674" s="770" t="s">
        <v>1444</v>
      </c>
      <c r="AF674" s="771" t="s">
        <v>1450</v>
      </c>
    </row>
    <row r="675" spans="31:32">
      <c r="AE675" s="770" t="s">
        <v>1445</v>
      </c>
      <c r="AF675" s="771" t="s">
        <v>653</v>
      </c>
    </row>
    <row r="676" spans="31:32">
      <c r="AE676" s="770" t="s">
        <v>1446</v>
      </c>
      <c r="AF676" s="771" t="s">
        <v>653</v>
      </c>
    </row>
    <row r="677" spans="31:32">
      <c r="AE677" s="770" t="s">
        <v>1447</v>
      </c>
      <c r="AF677" s="771" t="s">
        <v>653</v>
      </c>
    </row>
    <row r="678" spans="31:32">
      <c r="AE678" s="770" t="s">
        <v>1448</v>
      </c>
      <c r="AF678" s="771" t="s">
        <v>1450</v>
      </c>
    </row>
    <row r="679" spans="31:32">
      <c r="AE679" s="770" t="s">
        <v>1449</v>
      </c>
      <c r="AF679" s="771" t="s">
        <v>1450</v>
      </c>
    </row>
    <row r="680" spans="31:32">
      <c r="AE680" s="770"/>
      <c r="AF680" s="771"/>
    </row>
    <row r="681" spans="31:32">
      <c r="AE681" s="770"/>
      <c r="AF681" s="771"/>
    </row>
    <row r="682" spans="31:32">
      <c r="AE682" s="770"/>
      <c r="AF682" s="771"/>
    </row>
    <row r="683" spans="31:32">
      <c r="AE683" s="770"/>
      <c r="AF683" s="771"/>
    </row>
    <row r="684" spans="31:32">
      <c r="AE684" s="770"/>
      <c r="AF684" s="771"/>
    </row>
    <row r="685" spans="31:32">
      <c r="AE685" s="770"/>
      <c r="AF685" s="771"/>
    </row>
    <row r="686" spans="31:32">
      <c r="AE686" s="770"/>
      <c r="AF686" s="771"/>
    </row>
    <row r="687" spans="31:32">
      <c r="AE687" s="770"/>
      <c r="AF687" s="771"/>
    </row>
    <row r="688" spans="31:32">
      <c r="AE688" s="770"/>
      <c r="AF688" s="771"/>
    </row>
    <row r="689" spans="31:32">
      <c r="AE689" s="770"/>
      <c r="AF689" s="771"/>
    </row>
    <row r="690" spans="31:32">
      <c r="AE690" s="770"/>
      <c r="AF690" s="771"/>
    </row>
    <row r="691" spans="31:32">
      <c r="AE691" s="770"/>
      <c r="AF691" s="771"/>
    </row>
    <row r="692" spans="31:32">
      <c r="AE692" s="770"/>
      <c r="AF692" s="771"/>
    </row>
    <row r="693" spans="31:32">
      <c r="AE693" s="770"/>
      <c r="AF693" s="771"/>
    </row>
    <row r="694" spans="31:32">
      <c r="AE694" s="770"/>
      <c r="AF694" s="771"/>
    </row>
    <row r="695" spans="31:32">
      <c r="AE695" s="770"/>
      <c r="AF695" s="771"/>
    </row>
    <row r="696" spans="31:32">
      <c r="AE696" s="770"/>
      <c r="AF696" s="771"/>
    </row>
    <row r="697" spans="31:32">
      <c r="AE697" s="770"/>
      <c r="AF697" s="771"/>
    </row>
    <row r="698" spans="31:32">
      <c r="AE698" s="770"/>
      <c r="AF698" s="771"/>
    </row>
    <row r="699" spans="31:32">
      <c r="AE699" s="770"/>
      <c r="AF699" s="771"/>
    </row>
    <row r="700" spans="31:32">
      <c r="AE700" s="770"/>
      <c r="AF700" s="771"/>
    </row>
    <row r="701" spans="31:32">
      <c r="AE701" s="770"/>
      <c r="AF701" s="771"/>
    </row>
    <row r="702" spans="31:32">
      <c r="AE702" s="770"/>
      <c r="AF702" s="771"/>
    </row>
    <row r="703" spans="31:32">
      <c r="AE703" s="770"/>
      <c r="AF703" s="771"/>
    </row>
    <row r="704" spans="31:32">
      <c r="AE704" s="770"/>
      <c r="AF704" s="771"/>
    </row>
    <row r="705" spans="31:32">
      <c r="AE705" s="770"/>
      <c r="AF705" s="771"/>
    </row>
    <row r="706" spans="31:32">
      <c r="AE706" s="770"/>
      <c r="AF706" s="771"/>
    </row>
    <row r="707" spans="31:32">
      <c r="AE707" s="770"/>
      <c r="AF707" s="771"/>
    </row>
    <row r="708" spans="31:32">
      <c r="AE708" s="770"/>
      <c r="AF708" s="771"/>
    </row>
    <row r="709" spans="31:32">
      <c r="AE709" s="770"/>
      <c r="AF709" s="771"/>
    </row>
    <row r="710" spans="31:32">
      <c r="AE710" s="770"/>
      <c r="AF710" s="771"/>
    </row>
    <row r="711" spans="31:32">
      <c r="AE711" s="770"/>
      <c r="AF711" s="771"/>
    </row>
    <row r="712" spans="31:32">
      <c r="AE712" s="770"/>
      <c r="AF712" s="771"/>
    </row>
    <row r="713" spans="31:32">
      <c r="AE713" s="770"/>
      <c r="AF713" s="771"/>
    </row>
    <row r="714" spans="31:32">
      <c r="AE714" s="770"/>
      <c r="AF714" s="771"/>
    </row>
    <row r="715" spans="31:32">
      <c r="AE715" s="770"/>
      <c r="AF715" s="771"/>
    </row>
    <row r="716" spans="31:32">
      <c r="AE716" s="770"/>
      <c r="AF716" s="771"/>
    </row>
    <row r="717" spans="31:32">
      <c r="AE717" s="770"/>
      <c r="AF717" s="771"/>
    </row>
    <row r="718" spans="31:32">
      <c r="AE718" s="770"/>
      <c r="AF718" s="771"/>
    </row>
    <row r="719" spans="31:32">
      <c r="AE719" s="770"/>
      <c r="AF719" s="771"/>
    </row>
    <row r="720" spans="31:32">
      <c r="AE720" s="770"/>
      <c r="AF720" s="771"/>
    </row>
    <row r="721" spans="31:32">
      <c r="AE721" s="770"/>
      <c r="AF721" s="771"/>
    </row>
    <row r="722" spans="31:32">
      <c r="AE722" s="770"/>
      <c r="AF722" s="771"/>
    </row>
    <row r="723" spans="31:32">
      <c r="AE723" s="770"/>
      <c r="AF723" s="771"/>
    </row>
  </sheetData>
  <sheetProtection algorithmName="SHA-512" hashValue="jaZeq3O8C1bnSqWlC+jja01YqXvQhYDU7k5YX5E5b2sbFs9fm29RCgSKV5R+cJPMTfg9W4eOUEjUzJxFtA8hJw==" saltValue="q3C0JpHCz3F7n7zYJk/fiw==" spinCount="100000" sheet="1" objects="1" scenarios="1"/>
  <sortState xmlns:xlrd2="http://schemas.microsoft.com/office/spreadsheetml/2017/richdata2" ref="AH61:BC544">
    <sortCondition ref="AH61:AH544"/>
    <sortCondition ref="AI61:AI544"/>
  </sortState>
  <mergeCells count="43">
    <mergeCell ref="AC60:AD60"/>
    <mergeCell ref="T1:V3"/>
    <mergeCell ref="Z60:AA60"/>
    <mergeCell ref="Q33:S33"/>
    <mergeCell ref="E33:P33"/>
    <mergeCell ref="D35:S35"/>
    <mergeCell ref="E37:R37"/>
    <mergeCell ref="E39:R39"/>
    <mergeCell ref="E41:R41"/>
    <mergeCell ref="E43:R43"/>
    <mergeCell ref="E49:S49"/>
    <mergeCell ref="E45:R45"/>
    <mergeCell ref="E47:R47"/>
    <mergeCell ref="Q57:R57"/>
    <mergeCell ref="Q59:R59"/>
    <mergeCell ref="C15:S15"/>
    <mergeCell ref="J57:P57"/>
    <mergeCell ref="J59:P59"/>
    <mergeCell ref="G55:I55"/>
    <mergeCell ref="G57:I57"/>
    <mergeCell ref="G59:I59"/>
    <mergeCell ref="E7:R7"/>
    <mergeCell ref="E13:R13"/>
    <mergeCell ref="D3:S3"/>
    <mergeCell ref="E5:R5"/>
    <mergeCell ref="E9:R9"/>
    <mergeCell ref="E11:R11"/>
    <mergeCell ref="Z17:AF17"/>
    <mergeCell ref="E29:R29"/>
    <mergeCell ref="E31:R31"/>
    <mergeCell ref="D27:R27"/>
    <mergeCell ref="Q55:R55"/>
    <mergeCell ref="J55:P55"/>
    <mergeCell ref="E51:R51"/>
    <mergeCell ref="F53:S53"/>
    <mergeCell ref="D19:R19"/>
    <mergeCell ref="D21:R21"/>
    <mergeCell ref="D23:R23"/>
    <mergeCell ref="D25:R25"/>
    <mergeCell ref="I17:K17"/>
    <mergeCell ref="N17:O17"/>
    <mergeCell ref="C17:H17"/>
    <mergeCell ref="L17:M17"/>
  </mergeCells>
  <dataValidations count="4">
    <dataValidation type="list" allowBlank="1" showInputMessage="1" showErrorMessage="1" sqref="S5 S51" xr:uid="{00000000-0002-0000-1C00-000000000000}">
      <formula1>$Z$3:$Z$4</formula1>
    </dataValidation>
    <dataValidation type="list" allowBlank="1" showInputMessage="1" showErrorMessage="1" sqref="Q33:S33" xr:uid="{00000000-0002-0000-1C00-000001000000}">
      <formula1>$AA$3:$AA$5</formula1>
    </dataValidation>
    <dataValidation type="list" allowBlank="1" showInputMessage="1" showErrorMessage="1" sqref="S7 S13 S11 S9" xr:uid="{00000000-0002-0000-1C00-000003000000}">
      <formula1>$AB$3:$AB$5</formula1>
    </dataValidation>
    <dataValidation type="list" allowBlank="1" showInputMessage="1" showErrorMessage="1" sqref="J55:P55 J57:P57 J59:P59" xr:uid="{904566AB-D76E-4FD6-81E5-BDBCCE12EDE3}">
      <formula1>$AE$61:$AE$679</formula1>
    </dataValidation>
  </dataValidations>
  <pageMargins left="0.75" right="0.5" top="0.5" bottom="0.75" header="0" footer="0.5"/>
  <pageSetup scale="80" firstPageNumber="6" orientation="portrait" r:id="rId1"/>
  <headerFooter alignWithMargins="0">
    <oddFooter>&amp;C&amp;A&amp;R&amp;D &amp;T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M52"/>
  <sheetViews>
    <sheetView workbookViewId="0"/>
  </sheetViews>
  <sheetFormatPr defaultColWidth="10.7109375" defaultRowHeight="12.75"/>
  <cols>
    <col min="1" max="1" width="4.7109375" style="4" customWidth="1"/>
    <col min="2" max="2" width="6.7109375" style="4" customWidth="1"/>
    <col min="3" max="3" width="10.7109375" style="4" customWidth="1"/>
    <col min="4" max="4" width="6.7109375" style="4" customWidth="1"/>
    <col min="5" max="5" width="19.42578125" style="4" customWidth="1"/>
    <col min="6" max="6" width="6.7109375" style="4" customWidth="1"/>
    <col min="7" max="7" width="1.7109375" style="4" customWidth="1"/>
    <col min="8" max="8" width="5.7109375" style="4" customWidth="1"/>
    <col min="9" max="9" width="1.7109375" style="4" customWidth="1"/>
    <col min="10" max="10" width="5.7109375" style="4" customWidth="1"/>
    <col min="11" max="11" width="8.7109375" style="4" customWidth="1"/>
    <col min="12" max="12" width="1.7109375" style="4" customWidth="1"/>
    <col min="13" max="13" width="3.7109375" style="4" customWidth="1"/>
    <col min="14" max="14" width="8.7109375" style="4" customWidth="1"/>
    <col min="15" max="15" width="1.7109375" style="4" customWidth="1"/>
    <col min="16" max="16" width="9.7109375" style="4" customWidth="1"/>
    <col min="17" max="17" width="1.7109375" style="4" customWidth="1"/>
    <col min="18" max="18" width="10.7109375" style="4" customWidth="1"/>
    <col min="19" max="19" width="10.7109375" style="4"/>
    <col min="20" max="20" width="5.7109375" style="6" customWidth="1"/>
    <col min="21" max="21" width="4.7109375" style="4" hidden="1" customWidth="1"/>
    <col min="22" max="22" width="6.7109375" style="4" hidden="1" customWidth="1"/>
    <col min="23" max="23" width="16.7109375" style="4" hidden="1" customWidth="1"/>
    <col min="24" max="24" width="6.7109375" style="4" hidden="1" customWidth="1"/>
    <col min="25" max="25" width="11.5703125" style="4" hidden="1" customWidth="1"/>
    <col min="26" max="26" width="6.7109375" style="4" hidden="1" customWidth="1"/>
    <col min="27" max="27" width="1.7109375" style="4" hidden="1" customWidth="1"/>
    <col min="28" max="28" width="5.7109375" style="4" hidden="1" customWidth="1"/>
    <col min="29" max="29" width="1.7109375" style="4" hidden="1" customWidth="1"/>
    <col min="30" max="30" width="5.7109375" style="4" hidden="1" customWidth="1"/>
    <col min="31" max="31" width="6.7109375" style="4" hidden="1" customWidth="1"/>
    <col min="32" max="32" width="1.7109375" style="4" hidden="1" customWidth="1"/>
    <col min="33" max="33" width="3.7109375" style="4" hidden="1" customWidth="1"/>
    <col min="34" max="34" width="8.7109375" style="4" hidden="1" customWidth="1"/>
    <col min="35" max="35" width="1.7109375" style="4" hidden="1" customWidth="1"/>
    <col min="36" max="36" width="9.7109375" style="4" hidden="1" customWidth="1"/>
    <col min="37" max="37" width="1.7109375" style="4" hidden="1" customWidth="1"/>
    <col min="38" max="38" width="10.7109375" style="4" hidden="1" customWidth="1"/>
    <col min="39" max="39" width="5.7109375" style="6" customWidth="1"/>
    <col min="40" max="16384" width="10.7109375" style="4"/>
  </cols>
  <sheetData>
    <row r="1" spans="1:39" s="40" customFormat="1">
      <c r="A1" s="1302" t="str">
        <f>IF('FORM 1040-1'!D15="","",'FORM 1040-1'!D15)</f>
        <v/>
      </c>
      <c r="B1" s="1302"/>
      <c r="C1" s="1302"/>
      <c r="D1" s="1302"/>
      <c r="E1" s="1302"/>
      <c r="F1" s="1302"/>
      <c r="G1" s="1302"/>
      <c r="H1" s="1302"/>
      <c r="I1" s="1302"/>
      <c r="J1" s="1302"/>
      <c r="K1" s="1302"/>
      <c r="L1" s="1302"/>
      <c r="M1" s="1302"/>
      <c r="N1" s="1302"/>
      <c r="O1" s="1302"/>
      <c r="P1" s="1302"/>
      <c r="Q1" s="1302"/>
      <c r="R1" s="1294" t="str">
        <f>IF('FORM 1040-1'!$E$12="","",'FORM 1040-1'!$E$12)</f>
        <v/>
      </c>
      <c r="T1" s="41"/>
      <c r="AM1" s="41"/>
    </row>
    <row r="2" spans="1:39" s="40" customFormat="1">
      <c r="R2" s="824"/>
      <c r="T2" s="41"/>
      <c r="AM2" s="41"/>
    </row>
    <row r="3" spans="1:39" ht="15.75" customHeight="1">
      <c r="A3" s="1673" t="s">
        <v>2041</v>
      </c>
      <c r="B3" s="1673"/>
      <c r="C3" s="1673"/>
      <c r="D3" s="1673"/>
      <c r="E3" s="1673"/>
      <c r="F3" s="1673"/>
      <c r="G3" s="1673"/>
      <c r="H3" s="1673"/>
      <c r="I3" s="1673"/>
      <c r="J3" s="1673"/>
      <c r="K3" s="1673"/>
      <c r="L3" s="1673"/>
      <c r="M3" s="1673"/>
      <c r="N3" s="1673"/>
      <c r="O3" s="1673"/>
      <c r="P3" s="1673"/>
      <c r="Q3" s="1673"/>
      <c r="R3" s="1673"/>
      <c r="U3" s="1672" t="s">
        <v>1489</v>
      </c>
      <c r="V3" s="1672"/>
      <c r="W3" s="1672"/>
      <c r="X3" s="1672"/>
      <c r="Y3" s="1672"/>
      <c r="Z3" s="1672"/>
      <c r="AA3" s="1672"/>
      <c r="AB3" s="1672"/>
      <c r="AC3" s="1672"/>
      <c r="AD3" s="1672"/>
      <c r="AE3" s="1672"/>
      <c r="AF3" s="1672"/>
      <c r="AG3" s="1672"/>
      <c r="AH3" s="1672"/>
      <c r="AI3" s="1672"/>
      <c r="AJ3" s="1672"/>
      <c r="AK3" s="1672"/>
      <c r="AL3" s="1672"/>
    </row>
    <row r="4" spans="1:39" ht="12.95" customHeight="1"/>
    <row r="5" spans="1:39" ht="15" customHeight="1">
      <c r="A5" s="12" t="s">
        <v>43</v>
      </c>
      <c r="B5" s="4" t="s">
        <v>743</v>
      </c>
      <c r="D5" s="8"/>
      <c r="E5" s="8"/>
      <c r="F5" s="8"/>
      <c r="G5" s="8"/>
      <c r="H5" s="8"/>
      <c r="I5" s="8"/>
      <c r="J5" s="8"/>
      <c r="K5" s="8"/>
      <c r="L5" s="8"/>
      <c r="M5" s="8"/>
      <c r="N5" s="8"/>
      <c r="O5" s="8"/>
      <c r="P5" s="8"/>
      <c r="Q5" s="8"/>
      <c r="R5" s="8"/>
      <c r="U5" s="12" t="s">
        <v>43</v>
      </c>
      <c r="V5" s="4" t="s">
        <v>743</v>
      </c>
      <c r="X5" s="8"/>
      <c r="Y5" s="8"/>
      <c r="Z5" s="8"/>
      <c r="AA5" s="8"/>
      <c r="AB5" s="8"/>
      <c r="AC5" s="8"/>
      <c r="AD5" s="8"/>
      <c r="AE5" s="8"/>
      <c r="AF5" s="8"/>
      <c r="AG5" s="8"/>
      <c r="AH5" s="8"/>
      <c r="AI5" s="8"/>
      <c r="AJ5" s="8"/>
      <c r="AK5" s="8"/>
      <c r="AL5" s="8"/>
    </row>
    <row r="6" spans="1:39" s="8" customFormat="1" ht="15" customHeight="1">
      <c r="A6" s="26"/>
      <c r="T6" s="27"/>
      <c r="U6" s="26"/>
      <c r="AM6" s="27"/>
    </row>
    <row r="7" spans="1:39" ht="26.1" customHeight="1" thickBot="1">
      <c r="A7" s="12"/>
      <c r="B7" s="4" t="s">
        <v>744</v>
      </c>
      <c r="D7" s="1674"/>
      <c r="E7" s="1674"/>
      <c r="F7" s="1674"/>
      <c r="G7" s="1674"/>
      <c r="H7" s="1674"/>
      <c r="I7" s="8"/>
      <c r="J7" s="1601"/>
      <c r="K7" s="1601"/>
      <c r="L7" s="8"/>
      <c r="M7" s="1607"/>
      <c r="N7" s="1607"/>
      <c r="O7" s="8"/>
      <c r="P7" s="13"/>
      <c r="Q7" s="26"/>
      <c r="R7" s="13"/>
      <c r="U7" s="12"/>
      <c r="V7" s="4" t="s">
        <v>744</v>
      </c>
      <c r="X7" s="29" t="str">
        <f>IF(D7="","",(D7))</f>
        <v/>
      </c>
      <c r="Y7" s="29"/>
      <c r="Z7" s="29"/>
      <c r="AA7" s="29"/>
      <c r="AB7" s="29"/>
      <c r="AC7" s="8"/>
      <c r="AD7" s="19" t="str">
        <f>IF(J7="","",(J7))</f>
        <v/>
      </c>
      <c r="AE7" s="29"/>
      <c r="AF7" s="8"/>
      <c r="AG7" s="1671"/>
      <c r="AH7" s="1671"/>
      <c r="AI7" s="8"/>
      <c r="AJ7" s="1394" t="str">
        <f>IF(P7="","",(P7))</f>
        <v/>
      </c>
      <c r="AK7" s="26"/>
      <c r="AL7" s="19" t="str">
        <f>IF(R7="","",(R7))</f>
        <v/>
      </c>
    </row>
    <row r="8" spans="1:39" ht="15" customHeight="1" thickTop="1">
      <c r="A8" s="12"/>
      <c r="D8" s="1604" t="s">
        <v>413</v>
      </c>
      <c r="E8" s="1604"/>
      <c r="F8" s="1604"/>
      <c r="G8" s="1604"/>
      <c r="H8" s="1604"/>
      <c r="I8" s="21"/>
      <c r="J8" s="1604" t="s">
        <v>414</v>
      </c>
      <c r="K8" s="1604"/>
      <c r="L8" s="21"/>
      <c r="M8" s="1604" t="s">
        <v>415</v>
      </c>
      <c r="N8" s="1604"/>
      <c r="O8" s="21"/>
      <c r="P8" s="12" t="s">
        <v>417</v>
      </c>
      <c r="Q8" s="12"/>
      <c r="R8" s="12" t="s">
        <v>416</v>
      </c>
      <c r="U8" s="12"/>
      <c r="X8" s="1604" t="s">
        <v>413</v>
      </c>
      <c r="Y8" s="1604"/>
      <c r="Z8" s="1604"/>
      <c r="AA8" s="1604"/>
      <c r="AB8" s="1604"/>
      <c r="AC8" s="21"/>
      <c r="AD8" s="1604" t="s">
        <v>414</v>
      </c>
      <c r="AE8" s="1604"/>
      <c r="AF8" s="21"/>
      <c r="AG8" s="1604" t="s">
        <v>415</v>
      </c>
      <c r="AH8" s="1604"/>
      <c r="AI8" s="21"/>
      <c r="AJ8" s="12" t="s">
        <v>417</v>
      </c>
      <c r="AK8" s="12"/>
      <c r="AL8" s="12" t="s">
        <v>416</v>
      </c>
    </row>
    <row r="9" spans="1:39" ht="12" customHeight="1">
      <c r="A9" s="12"/>
      <c r="U9" s="12"/>
    </row>
    <row r="10" spans="1:39" ht="26.1" customHeight="1" thickBot="1">
      <c r="A10" s="12"/>
      <c r="B10" s="4" t="s">
        <v>745</v>
      </c>
      <c r="D10" s="1674"/>
      <c r="E10" s="1674"/>
      <c r="F10" s="1674"/>
      <c r="G10" s="1674"/>
      <c r="H10" s="1674"/>
      <c r="I10" s="8"/>
      <c r="J10" s="1601"/>
      <c r="K10" s="1601"/>
      <c r="L10" s="8"/>
      <c r="M10" s="1607"/>
      <c r="N10" s="1607"/>
      <c r="O10" s="8"/>
      <c r="P10" s="13"/>
      <c r="Q10" s="26"/>
      <c r="R10" s="1241"/>
      <c r="U10" s="12"/>
      <c r="V10" s="4" t="s">
        <v>745</v>
      </c>
      <c r="X10" s="29" t="str">
        <f>IF(D10="","",(D10))</f>
        <v/>
      </c>
      <c r="Y10" s="29"/>
      <c r="Z10" s="29"/>
      <c r="AA10" s="29"/>
      <c r="AB10" s="29"/>
      <c r="AC10" s="8"/>
      <c r="AD10" s="29" t="str">
        <f>IF(J10="","",(J10))</f>
        <v/>
      </c>
      <c r="AE10" s="29"/>
      <c r="AF10" s="8"/>
      <c r="AG10" s="1671"/>
      <c r="AH10" s="1671"/>
      <c r="AI10" s="8"/>
      <c r="AJ10" s="1394" t="str">
        <f>IF(P10="","",(P10))</f>
        <v/>
      </c>
      <c r="AK10" s="26"/>
      <c r="AL10" s="19" t="str">
        <f>IF(R10="","",(R10))</f>
        <v/>
      </c>
    </row>
    <row r="11" spans="1:39" ht="15" customHeight="1" thickTop="1">
      <c r="A11" s="12"/>
      <c r="D11" s="1604" t="s">
        <v>413</v>
      </c>
      <c r="E11" s="1604"/>
      <c r="F11" s="1604"/>
      <c r="G11" s="1604"/>
      <c r="H11" s="1604"/>
      <c r="I11" s="21"/>
      <c r="J11" s="1604" t="s">
        <v>414</v>
      </c>
      <c r="K11" s="1604"/>
      <c r="L11" s="21"/>
      <c r="M11" s="1604" t="s">
        <v>415</v>
      </c>
      <c r="N11" s="1604"/>
      <c r="O11" s="21"/>
      <c r="P11" s="12" t="s">
        <v>417</v>
      </c>
      <c r="Q11" s="12"/>
      <c r="R11" s="12" t="s">
        <v>416</v>
      </c>
      <c r="U11" s="12"/>
      <c r="X11" s="1604" t="s">
        <v>413</v>
      </c>
      <c r="Y11" s="1604"/>
      <c r="Z11" s="1604"/>
      <c r="AA11" s="1604"/>
      <c r="AB11" s="1604"/>
      <c r="AC11" s="21"/>
      <c r="AD11" s="1604" t="s">
        <v>414</v>
      </c>
      <c r="AE11" s="1604"/>
      <c r="AF11" s="21"/>
      <c r="AG11" s="1604" t="s">
        <v>415</v>
      </c>
      <c r="AH11" s="1604"/>
      <c r="AI11" s="21"/>
      <c r="AJ11" s="12" t="s">
        <v>417</v>
      </c>
      <c r="AK11" s="12"/>
      <c r="AL11" s="12" t="s">
        <v>416</v>
      </c>
    </row>
    <row r="12" spans="1:39" ht="12" customHeight="1">
      <c r="A12" s="12"/>
      <c r="U12" s="12"/>
    </row>
    <row r="13" spans="1:39" ht="26.1" customHeight="1" thickBot="1">
      <c r="A13" s="12"/>
      <c r="B13" s="4" t="s">
        <v>746</v>
      </c>
      <c r="D13" s="1674"/>
      <c r="E13" s="1674"/>
      <c r="F13" s="1674"/>
      <c r="G13" s="1674"/>
      <c r="H13" s="1674"/>
      <c r="I13" s="8"/>
      <c r="J13" s="1601"/>
      <c r="K13" s="1601"/>
      <c r="L13" s="8"/>
      <c r="M13" s="1607"/>
      <c r="N13" s="1607"/>
      <c r="O13" s="8"/>
      <c r="P13" s="13"/>
      <c r="Q13" s="26"/>
      <c r="R13" s="1241"/>
      <c r="U13" s="12"/>
      <c r="V13" s="4" t="s">
        <v>746</v>
      </c>
      <c r="X13" s="29" t="str">
        <f>IF(D13="","",(D13))</f>
        <v/>
      </c>
      <c r="Y13" s="29"/>
      <c r="Z13" s="29"/>
      <c r="AA13" s="29"/>
      <c r="AB13" s="29"/>
      <c r="AC13" s="8"/>
      <c r="AD13" s="29" t="str">
        <f>IF(J13="","",(J13))</f>
        <v/>
      </c>
      <c r="AE13" s="29"/>
      <c r="AF13" s="8"/>
      <c r="AG13" s="1671"/>
      <c r="AH13" s="1671"/>
      <c r="AI13" s="8"/>
      <c r="AJ13" s="1394" t="str">
        <f>IF(P13="","",(P13))</f>
        <v/>
      </c>
      <c r="AK13" s="26"/>
      <c r="AL13" s="19" t="str">
        <f>IF(R13="","",(R13))</f>
        <v/>
      </c>
    </row>
    <row r="14" spans="1:39" ht="15" customHeight="1" thickTop="1">
      <c r="A14" s="12"/>
      <c r="D14" s="1604" t="s">
        <v>413</v>
      </c>
      <c r="E14" s="1604"/>
      <c r="F14" s="1604"/>
      <c r="G14" s="1604"/>
      <c r="H14" s="1604"/>
      <c r="I14" s="21"/>
      <c r="J14" s="1604" t="s">
        <v>414</v>
      </c>
      <c r="K14" s="1604"/>
      <c r="L14" s="21"/>
      <c r="M14" s="1604" t="s">
        <v>415</v>
      </c>
      <c r="N14" s="1604"/>
      <c r="O14" s="21"/>
      <c r="P14" s="12" t="s">
        <v>417</v>
      </c>
      <c r="Q14" s="12"/>
      <c r="R14" s="12" t="s">
        <v>416</v>
      </c>
      <c r="U14" s="12"/>
      <c r="X14" s="1604" t="s">
        <v>413</v>
      </c>
      <c r="Y14" s="1604"/>
      <c r="Z14" s="1604"/>
      <c r="AA14" s="1604"/>
      <c r="AB14" s="1604"/>
      <c r="AC14" s="21"/>
      <c r="AD14" s="1604" t="s">
        <v>414</v>
      </c>
      <c r="AE14" s="1604"/>
      <c r="AF14" s="21"/>
      <c r="AG14" s="1604" t="s">
        <v>415</v>
      </c>
      <c r="AH14" s="1604"/>
      <c r="AI14" s="21"/>
      <c r="AJ14" s="12" t="s">
        <v>417</v>
      </c>
      <c r="AK14" s="12"/>
      <c r="AL14" s="12" t="s">
        <v>416</v>
      </c>
    </row>
    <row r="15" spans="1:39" ht="12" customHeight="1">
      <c r="A15" s="12"/>
      <c r="U15" s="12"/>
    </row>
    <row r="16" spans="1:39" ht="26.1" customHeight="1" thickBot="1">
      <c r="A16" s="12"/>
      <c r="B16" s="4" t="s">
        <v>747</v>
      </c>
      <c r="D16" s="1674"/>
      <c r="E16" s="1674"/>
      <c r="F16" s="1674"/>
      <c r="G16" s="1674"/>
      <c r="H16" s="1674"/>
      <c r="I16" s="8"/>
      <c r="J16" s="1601"/>
      <c r="K16" s="1601"/>
      <c r="L16" s="8"/>
      <c r="M16" s="1607"/>
      <c r="N16" s="1607"/>
      <c r="O16" s="8"/>
      <c r="P16" s="13"/>
      <c r="Q16" s="26"/>
      <c r="R16" s="1241"/>
      <c r="U16" s="12"/>
      <c r="V16" s="4" t="s">
        <v>747</v>
      </c>
      <c r="X16" s="29" t="str">
        <f>IF(D16="","",(D16))</f>
        <v/>
      </c>
      <c r="Y16" s="29"/>
      <c r="Z16" s="29"/>
      <c r="AA16" s="29"/>
      <c r="AB16" s="29"/>
      <c r="AC16" s="8"/>
      <c r="AD16" s="29" t="str">
        <f>IF(J16="","",(J16))</f>
        <v/>
      </c>
      <c r="AE16" s="29"/>
      <c r="AF16" s="8"/>
      <c r="AG16" s="1671"/>
      <c r="AH16" s="1671"/>
      <c r="AI16" s="8"/>
      <c r="AJ16" s="1394" t="str">
        <f>IF(P16="","",(P16))</f>
        <v/>
      </c>
      <c r="AK16" s="26"/>
      <c r="AL16" s="19" t="str">
        <f>IF(R16="","",(R16))</f>
        <v/>
      </c>
    </row>
    <row r="17" spans="1:38" ht="15" customHeight="1" thickTop="1">
      <c r="A17" s="12"/>
      <c r="D17" s="1604" t="s">
        <v>413</v>
      </c>
      <c r="E17" s="1604"/>
      <c r="F17" s="1604"/>
      <c r="G17" s="1604"/>
      <c r="H17" s="1604"/>
      <c r="I17" s="21"/>
      <c r="J17" s="1604" t="s">
        <v>414</v>
      </c>
      <c r="K17" s="1604"/>
      <c r="L17" s="21"/>
      <c r="M17" s="1604" t="s">
        <v>415</v>
      </c>
      <c r="N17" s="1604"/>
      <c r="O17" s="21"/>
      <c r="P17" s="12" t="s">
        <v>417</v>
      </c>
      <c r="Q17" s="12"/>
      <c r="R17" s="12" t="s">
        <v>416</v>
      </c>
      <c r="U17" s="12"/>
      <c r="X17" s="1604" t="s">
        <v>413</v>
      </c>
      <c r="Y17" s="1604"/>
      <c r="Z17" s="1604"/>
      <c r="AA17" s="1604"/>
      <c r="AB17" s="1604"/>
      <c r="AC17" s="21"/>
      <c r="AD17" s="1604" t="s">
        <v>414</v>
      </c>
      <c r="AE17" s="1604"/>
      <c r="AF17" s="21"/>
      <c r="AG17" s="1604" t="s">
        <v>415</v>
      </c>
      <c r="AH17" s="1604"/>
      <c r="AI17" s="21"/>
      <c r="AJ17" s="12" t="s">
        <v>417</v>
      </c>
      <c r="AK17" s="12"/>
      <c r="AL17" s="12" t="s">
        <v>416</v>
      </c>
    </row>
    <row r="18" spans="1:38" ht="12" customHeight="1">
      <c r="A18" s="12"/>
      <c r="U18" s="12"/>
    </row>
    <row r="19" spans="1:38" ht="26.1" customHeight="1" thickBot="1">
      <c r="A19" s="12"/>
      <c r="B19" s="4" t="s">
        <v>748</v>
      </c>
      <c r="D19" s="1674"/>
      <c r="E19" s="1674"/>
      <c r="F19" s="1674"/>
      <c r="G19" s="1674"/>
      <c r="H19" s="1674"/>
      <c r="I19" s="8"/>
      <c r="J19" s="1601"/>
      <c r="K19" s="1601"/>
      <c r="L19" s="8"/>
      <c r="M19" s="1607"/>
      <c r="N19" s="1607"/>
      <c r="O19" s="8"/>
      <c r="P19" s="13"/>
      <c r="Q19" s="26"/>
      <c r="R19" s="1241"/>
      <c r="U19" s="12"/>
      <c r="V19" s="4" t="s">
        <v>748</v>
      </c>
      <c r="X19" s="29" t="str">
        <f>IF(D19="","",(D19))</f>
        <v/>
      </c>
      <c r="Y19" s="29"/>
      <c r="Z19" s="29"/>
      <c r="AA19" s="29"/>
      <c r="AB19" s="29"/>
      <c r="AC19" s="8"/>
      <c r="AD19" s="29" t="str">
        <f>IF(J19="","",(J19))</f>
        <v/>
      </c>
      <c r="AE19" s="29"/>
      <c r="AF19" s="8"/>
      <c r="AG19" s="1671"/>
      <c r="AH19" s="1671"/>
      <c r="AI19" s="8"/>
      <c r="AJ19" s="1394" t="str">
        <f>IF(P19="","",(P19))</f>
        <v/>
      </c>
      <c r="AK19" s="26"/>
      <c r="AL19" s="19" t="str">
        <f>IF(R19="","",(R19))</f>
        <v/>
      </c>
    </row>
    <row r="20" spans="1:38" ht="15" customHeight="1" thickTop="1">
      <c r="A20" s="12"/>
      <c r="D20" s="1604" t="s">
        <v>413</v>
      </c>
      <c r="E20" s="1604"/>
      <c r="F20" s="1604"/>
      <c r="G20" s="1604"/>
      <c r="H20" s="1604"/>
      <c r="I20" s="21"/>
      <c r="J20" s="1604" t="s">
        <v>414</v>
      </c>
      <c r="K20" s="1604"/>
      <c r="L20" s="21"/>
      <c r="M20" s="1604" t="s">
        <v>415</v>
      </c>
      <c r="N20" s="1604"/>
      <c r="O20" s="21"/>
      <c r="P20" s="12" t="s">
        <v>417</v>
      </c>
      <c r="Q20" s="12"/>
      <c r="R20" s="12" t="s">
        <v>416</v>
      </c>
      <c r="U20" s="12"/>
      <c r="X20" s="1604" t="s">
        <v>413</v>
      </c>
      <c r="Y20" s="1604"/>
      <c r="Z20" s="1604"/>
      <c r="AA20" s="1604"/>
      <c r="AB20" s="1604"/>
      <c r="AC20" s="21"/>
      <c r="AD20" s="1604" t="s">
        <v>414</v>
      </c>
      <c r="AE20" s="1604"/>
      <c r="AF20" s="21"/>
      <c r="AG20" s="1604" t="s">
        <v>415</v>
      </c>
      <c r="AH20" s="1604"/>
      <c r="AI20" s="21"/>
      <c r="AJ20" s="12" t="s">
        <v>417</v>
      </c>
      <c r="AK20" s="12"/>
      <c r="AL20" s="12" t="s">
        <v>416</v>
      </c>
    </row>
    <row r="21" spans="1:38" ht="12" customHeight="1">
      <c r="A21" s="12"/>
      <c r="U21" s="12"/>
    </row>
    <row r="22" spans="1:38" ht="26.1" customHeight="1" thickBot="1">
      <c r="A22" s="12"/>
      <c r="B22" s="4" t="s">
        <v>749</v>
      </c>
      <c r="D22" s="1674"/>
      <c r="E22" s="1674"/>
      <c r="F22" s="1674"/>
      <c r="G22" s="1674"/>
      <c r="H22" s="1674"/>
      <c r="I22" s="8"/>
      <c r="J22" s="1601"/>
      <c r="K22" s="1601"/>
      <c r="L22" s="8"/>
      <c r="M22" s="1607"/>
      <c r="N22" s="1607"/>
      <c r="O22" s="8"/>
      <c r="P22" s="13"/>
      <c r="Q22" s="26"/>
      <c r="R22" s="13"/>
      <c r="U22" s="12"/>
      <c r="V22" s="4" t="s">
        <v>749</v>
      </c>
      <c r="X22" s="29" t="str">
        <f>IF(D22="","",(D22))</f>
        <v/>
      </c>
      <c r="Y22" s="29"/>
      <c r="Z22" s="29"/>
      <c r="AA22" s="29"/>
      <c r="AB22" s="29"/>
      <c r="AC22" s="8"/>
      <c r="AD22" s="29" t="str">
        <f>IF(J22="","",(J22))</f>
        <v/>
      </c>
      <c r="AE22" s="29"/>
      <c r="AF22" s="8"/>
      <c r="AG22" s="1671"/>
      <c r="AH22" s="1671"/>
      <c r="AI22" s="8"/>
      <c r="AJ22" s="1394" t="str">
        <f>IF(P22="","",(P22))</f>
        <v/>
      </c>
      <c r="AK22" s="26"/>
      <c r="AL22" s="19" t="str">
        <f>IF(R22="","",(R22))</f>
        <v/>
      </c>
    </row>
    <row r="23" spans="1:38" ht="15" customHeight="1" thickTop="1">
      <c r="A23" s="12"/>
      <c r="D23" s="1604" t="s">
        <v>413</v>
      </c>
      <c r="E23" s="1604"/>
      <c r="F23" s="1604"/>
      <c r="G23" s="1604"/>
      <c r="H23" s="1604"/>
      <c r="I23" s="21"/>
      <c r="J23" s="1604" t="s">
        <v>414</v>
      </c>
      <c r="K23" s="1604"/>
      <c r="L23" s="21"/>
      <c r="M23" s="1604" t="s">
        <v>415</v>
      </c>
      <c r="N23" s="1604"/>
      <c r="O23" s="21"/>
      <c r="P23" s="12" t="s">
        <v>417</v>
      </c>
      <c r="Q23" s="12"/>
      <c r="R23" s="12" t="s">
        <v>416</v>
      </c>
      <c r="U23" s="12"/>
      <c r="X23" s="1604" t="s">
        <v>413</v>
      </c>
      <c r="Y23" s="1604"/>
      <c r="Z23" s="1604"/>
      <c r="AA23" s="1604"/>
      <c r="AB23" s="1604"/>
      <c r="AC23" s="21"/>
      <c r="AD23" s="1604" t="s">
        <v>414</v>
      </c>
      <c r="AE23" s="1604"/>
      <c r="AF23" s="21"/>
      <c r="AG23" s="1604" t="s">
        <v>415</v>
      </c>
      <c r="AH23" s="1604"/>
      <c r="AI23" s="21"/>
      <c r="AJ23" s="12" t="s">
        <v>417</v>
      </c>
      <c r="AK23" s="12"/>
      <c r="AL23" s="12" t="s">
        <v>416</v>
      </c>
    </row>
    <row r="24" spans="1:38" ht="12" customHeight="1">
      <c r="A24" s="12"/>
      <c r="U24" s="12"/>
    </row>
    <row r="25" spans="1:38" ht="26.1" customHeight="1" thickBot="1">
      <c r="A25" s="12"/>
      <c r="B25" s="4" t="s">
        <v>750</v>
      </c>
      <c r="D25" s="1674"/>
      <c r="E25" s="1674"/>
      <c r="F25" s="1674"/>
      <c r="G25" s="1674"/>
      <c r="H25" s="1674"/>
      <c r="I25" s="8"/>
      <c r="J25" s="1601"/>
      <c r="K25" s="1601"/>
      <c r="L25" s="8"/>
      <c r="M25" s="1607"/>
      <c r="N25" s="1607"/>
      <c r="O25" s="8"/>
      <c r="P25" s="13"/>
      <c r="Q25" s="26"/>
      <c r="R25" s="13"/>
      <c r="U25" s="12"/>
      <c r="V25" s="4" t="s">
        <v>750</v>
      </c>
      <c r="X25" s="29" t="str">
        <f>IF(D25="","",(D25))</f>
        <v/>
      </c>
      <c r="Y25" s="29"/>
      <c r="Z25" s="29"/>
      <c r="AA25" s="29"/>
      <c r="AB25" s="29"/>
      <c r="AC25" s="8"/>
      <c r="AD25" s="29" t="str">
        <f>IF(J25="","",(J25))</f>
        <v/>
      </c>
      <c r="AE25" s="29"/>
      <c r="AF25" s="8"/>
      <c r="AG25" s="1671"/>
      <c r="AH25" s="1671"/>
      <c r="AI25" s="8"/>
      <c r="AJ25" s="1394" t="str">
        <f>IF(P25="","",(P25))</f>
        <v/>
      </c>
      <c r="AK25" s="26"/>
      <c r="AL25" s="19" t="str">
        <f>IF(R25="","",(R25))</f>
        <v/>
      </c>
    </row>
    <row r="26" spans="1:38" ht="15" customHeight="1" thickTop="1">
      <c r="A26" s="12"/>
      <c r="D26" s="1604" t="s">
        <v>413</v>
      </c>
      <c r="E26" s="1604"/>
      <c r="F26" s="1604"/>
      <c r="G26" s="1604"/>
      <c r="H26" s="1604"/>
      <c r="I26" s="21"/>
      <c r="J26" s="1604" t="s">
        <v>414</v>
      </c>
      <c r="K26" s="1604"/>
      <c r="L26" s="21"/>
      <c r="M26" s="1604" t="s">
        <v>415</v>
      </c>
      <c r="N26" s="1604"/>
      <c r="O26" s="21"/>
      <c r="P26" s="12" t="s">
        <v>417</v>
      </c>
      <c r="Q26" s="12"/>
      <c r="R26" s="12" t="s">
        <v>416</v>
      </c>
      <c r="U26" s="12"/>
      <c r="X26" s="1604" t="s">
        <v>413</v>
      </c>
      <c r="Y26" s="1604"/>
      <c r="Z26" s="1604"/>
      <c r="AA26" s="1604"/>
      <c r="AB26" s="1604"/>
      <c r="AC26" s="21"/>
      <c r="AD26" s="1604" t="s">
        <v>414</v>
      </c>
      <c r="AE26" s="1604"/>
      <c r="AF26" s="21"/>
      <c r="AG26" s="1604" t="s">
        <v>415</v>
      </c>
      <c r="AH26" s="1604"/>
      <c r="AI26" s="21"/>
      <c r="AJ26" s="12" t="s">
        <v>417</v>
      </c>
      <c r="AK26" s="12"/>
      <c r="AL26" s="12" t="s">
        <v>416</v>
      </c>
    </row>
    <row r="27" spans="1:38" ht="12" customHeight="1">
      <c r="A27" s="12"/>
      <c r="U27" s="12"/>
    </row>
    <row r="28" spans="1:38" ht="26.1" customHeight="1" thickBot="1">
      <c r="A28" s="12"/>
      <c r="B28" s="4" t="s">
        <v>751</v>
      </c>
      <c r="D28" s="1674"/>
      <c r="E28" s="1674"/>
      <c r="F28" s="1674"/>
      <c r="G28" s="1674"/>
      <c r="H28" s="1674"/>
      <c r="I28" s="8"/>
      <c r="J28" s="1601"/>
      <c r="K28" s="1601"/>
      <c r="L28" s="8"/>
      <c r="M28" s="1607"/>
      <c r="N28" s="1607"/>
      <c r="O28" s="8"/>
      <c r="P28" s="13"/>
      <c r="Q28" s="26"/>
      <c r="R28" s="13"/>
      <c r="U28" s="12"/>
      <c r="V28" s="4" t="s">
        <v>751</v>
      </c>
      <c r="X28" s="29" t="str">
        <f>IF(D28="","",(D28))</f>
        <v/>
      </c>
      <c r="Y28" s="29"/>
      <c r="Z28" s="29"/>
      <c r="AA28" s="29"/>
      <c r="AB28" s="29"/>
      <c r="AC28" s="8"/>
      <c r="AD28" s="29" t="str">
        <f>IF(J28="","",(J28))</f>
        <v/>
      </c>
      <c r="AE28" s="29"/>
      <c r="AF28" s="8"/>
      <c r="AG28" s="1671"/>
      <c r="AH28" s="1671"/>
      <c r="AI28" s="8"/>
      <c r="AJ28" s="1394" t="str">
        <f>IF(P28="","",(P28))</f>
        <v/>
      </c>
      <c r="AK28" s="26"/>
      <c r="AL28" s="19" t="str">
        <f>IF(R28="","",(R28))</f>
        <v/>
      </c>
    </row>
    <row r="29" spans="1:38" ht="15" customHeight="1" thickTop="1">
      <c r="A29" s="12"/>
      <c r="D29" s="1604" t="s">
        <v>413</v>
      </c>
      <c r="E29" s="1604"/>
      <c r="F29" s="1604"/>
      <c r="G29" s="1604"/>
      <c r="H29" s="1604"/>
      <c r="I29" s="21"/>
      <c r="J29" s="1604" t="s">
        <v>414</v>
      </c>
      <c r="K29" s="1604"/>
      <c r="L29" s="21"/>
      <c r="M29" s="1604" t="s">
        <v>415</v>
      </c>
      <c r="N29" s="1604"/>
      <c r="O29" s="21"/>
      <c r="P29" s="12" t="s">
        <v>417</v>
      </c>
      <c r="Q29" s="12"/>
      <c r="R29" s="12" t="s">
        <v>416</v>
      </c>
      <c r="U29" s="12"/>
      <c r="X29" s="1604" t="s">
        <v>413</v>
      </c>
      <c r="Y29" s="1604"/>
      <c r="Z29" s="1604"/>
      <c r="AA29" s="1604"/>
      <c r="AB29" s="1604"/>
      <c r="AC29" s="21"/>
      <c r="AD29" s="1604" t="s">
        <v>414</v>
      </c>
      <c r="AE29" s="1604"/>
      <c r="AF29" s="21"/>
      <c r="AG29" s="1604" t="s">
        <v>415</v>
      </c>
      <c r="AH29" s="1604"/>
      <c r="AI29" s="21"/>
      <c r="AJ29" s="12" t="s">
        <v>417</v>
      </c>
      <c r="AK29" s="12"/>
      <c r="AL29" s="12" t="s">
        <v>416</v>
      </c>
    </row>
    <row r="30" spans="1:38" ht="12" customHeight="1">
      <c r="A30" s="12"/>
      <c r="U30" s="12"/>
    </row>
    <row r="31" spans="1:38" ht="26.1" customHeight="1" thickBot="1">
      <c r="A31" s="12"/>
      <c r="B31" s="4" t="s">
        <v>752</v>
      </c>
      <c r="D31" s="1674"/>
      <c r="E31" s="1674"/>
      <c r="F31" s="1674"/>
      <c r="G31" s="1674"/>
      <c r="H31" s="1674"/>
      <c r="I31" s="8"/>
      <c r="J31" s="1601"/>
      <c r="K31" s="1601"/>
      <c r="L31" s="8"/>
      <c r="M31" s="1607"/>
      <c r="N31" s="1607"/>
      <c r="O31" s="8"/>
      <c r="P31" s="13"/>
      <c r="Q31" s="26"/>
      <c r="R31" s="13"/>
      <c r="U31" s="12"/>
      <c r="V31" s="4" t="s">
        <v>752</v>
      </c>
      <c r="X31" s="29" t="str">
        <f>IF(D31="","",(D31))</f>
        <v/>
      </c>
      <c r="Y31" s="29"/>
      <c r="Z31" s="29"/>
      <c r="AA31" s="29"/>
      <c r="AB31" s="29"/>
      <c r="AC31" s="8"/>
      <c r="AD31" s="29" t="str">
        <f>IF(J31="","",(J31))</f>
        <v/>
      </c>
      <c r="AE31" s="29"/>
      <c r="AF31" s="8"/>
      <c r="AG31" s="1671"/>
      <c r="AH31" s="1671"/>
      <c r="AI31" s="8"/>
      <c r="AJ31" s="1394" t="str">
        <f>IF(P31="","",(P31))</f>
        <v/>
      </c>
      <c r="AK31" s="26"/>
      <c r="AL31" s="19" t="str">
        <f>IF(R31="","",(R31))</f>
        <v/>
      </c>
    </row>
    <row r="32" spans="1:38" ht="15" customHeight="1" thickTop="1">
      <c r="A32" s="12"/>
      <c r="D32" s="1604" t="s">
        <v>413</v>
      </c>
      <c r="E32" s="1604"/>
      <c r="F32" s="1604"/>
      <c r="G32" s="1604"/>
      <c r="H32" s="1604"/>
      <c r="I32" s="21"/>
      <c r="J32" s="1604" t="s">
        <v>414</v>
      </c>
      <c r="K32" s="1604"/>
      <c r="L32" s="21"/>
      <c r="M32" s="1604" t="s">
        <v>415</v>
      </c>
      <c r="N32" s="1604"/>
      <c r="O32" s="21"/>
      <c r="P32" s="12" t="s">
        <v>417</v>
      </c>
      <c r="Q32" s="12"/>
      <c r="R32" s="12" t="s">
        <v>416</v>
      </c>
      <c r="U32" s="12"/>
      <c r="X32" s="1604" t="s">
        <v>413</v>
      </c>
      <c r="Y32" s="1604"/>
      <c r="Z32" s="1604"/>
      <c r="AA32" s="1604"/>
      <c r="AB32" s="1604"/>
      <c r="AC32" s="21"/>
      <c r="AD32" s="1604" t="s">
        <v>414</v>
      </c>
      <c r="AE32" s="1604"/>
      <c r="AF32" s="21"/>
      <c r="AG32" s="1604" t="s">
        <v>415</v>
      </c>
      <c r="AH32" s="1604"/>
      <c r="AI32" s="21"/>
      <c r="AJ32" s="12" t="s">
        <v>417</v>
      </c>
      <c r="AK32" s="12"/>
      <c r="AL32" s="12" t="s">
        <v>416</v>
      </c>
    </row>
    <row r="33" spans="1:38" ht="12" customHeight="1">
      <c r="A33" s="12"/>
      <c r="U33" s="12"/>
    </row>
    <row r="34" spans="1:38" ht="26.1" customHeight="1" thickBot="1">
      <c r="A34" s="12"/>
      <c r="B34" s="4" t="s">
        <v>753</v>
      </c>
      <c r="D34" s="1674"/>
      <c r="E34" s="1674"/>
      <c r="F34" s="1674"/>
      <c r="G34" s="1674"/>
      <c r="H34" s="1674"/>
      <c r="I34" s="8"/>
      <c r="J34" s="1601"/>
      <c r="K34" s="1601"/>
      <c r="L34" s="8"/>
      <c r="M34" s="1607"/>
      <c r="N34" s="1607"/>
      <c r="O34" s="8"/>
      <c r="P34" s="13"/>
      <c r="Q34" s="26"/>
      <c r="R34" s="13"/>
      <c r="U34" s="12"/>
      <c r="V34" s="4" t="s">
        <v>753</v>
      </c>
      <c r="X34" s="29" t="str">
        <f>IF(D34="","",(D34))</f>
        <v/>
      </c>
      <c r="Y34" s="29"/>
      <c r="Z34" s="29"/>
      <c r="AA34" s="29"/>
      <c r="AB34" s="29"/>
      <c r="AC34" s="8"/>
      <c r="AD34" s="29" t="str">
        <f>IF(J34="","",(J34))</f>
        <v/>
      </c>
      <c r="AE34" s="29"/>
      <c r="AF34" s="8"/>
      <c r="AG34" s="1671"/>
      <c r="AH34" s="1671"/>
      <c r="AI34" s="8"/>
      <c r="AJ34" s="1394" t="str">
        <f>IF(P34="","",(P34))</f>
        <v/>
      </c>
      <c r="AK34" s="26"/>
      <c r="AL34" s="19" t="str">
        <f>IF(R34="","",(R34))</f>
        <v/>
      </c>
    </row>
    <row r="35" spans="1:38" ht="15" customHeight="1" thickTop="1">
      <c r="A35" s="12"/>
      <c r="D35" s="1604" t="s">
        <v>413</v>
      </c>
      <c r="E35" s="1604"/>
      <c r="F35" s="1604"/>
      <c r="G35" s="1604"/>
      <c r="H35" s="1604"/>
      <c r="I35" s="21"/>
      <c r="J35" s="1604" t="s">
        <v>414</v>
      </c>
      <c r="K35" s="1604"/>
      <c r="L35" s="21"/>
      <c r="M35" s="1604" t="s">
        <v>415</v>
      </c>
      <c r="N35" s="1604"/>
      <c r="O35" s="21"/>
      <c r="P35" s="12" t="s">
        <v>417</v>
      </c>
      <c r="Q35" s="12"/>
      <c r="R35" s="12" t="s">
        <v>416</v>
      </c>
      <c r="U35" s="12"/>
      <c r="X35" s="1604" t="s">
        <v>413</v>
      </c>
      <c r="Y35" s="1604"/>
      <c r="Z35" s="1604"/>
      <c r="AA35" s="1604"/>
      <c r="AB35" s="1604"/>
      <c r="AC35" s="21"/>
      <c r="AD35" s="1604" t="s">
        <v>414</v>
      </c>
      <c r="AE35" s="1604"/>
      <c r="AF35" s="21"/>
      <c r="AG35" s="1604" t="s">
        <v>415</v>
      </c>
      <c r="AH35" s="1604"/>
      <c r="AI35" s="21"/>
      <c r="AJ35" s="12" t="s">
        <v>417</v>
      </c>
      <c r="AK35" s="12"/>
      <c r="AL35" s="12" t="s">
        <v>416</v>
      </c>
    </row>
    <row r="36" spans="1:38" ht="12" customHeight="1">
      <c r="A36" s="12"/>
      <c r="U36" s="12"/>
    </row>
    <row r="37" spans="1:38" ht="26.1" customHeight="1" thickBot="1">
      <c r="A37" s="12"/>
      <c r="B37" s="4" t="s">
        <v>754</v>
      </c>
      <c r="D37" s="1674"/>
      <c r="E37" s="1674"/>
      <c r="F37" s="1674"/>
      <c r="G37" s="1674"/>
      <c r="H37" s="1674"/>
      <c r="I37" s="8"/>
      <c r="J37" s="1601"/>
      <c r="K37" s="1601"/>
      <c r="L37" s="8"/>
      <c r="M37" s="1607"/>
      <c r="N37" s="1607"/>
      <c r="O37" s="8"/>
      <c r="P37" s="13"/>
      <c r="Q37" s="26"/>
      <c r="R37" s="13"/>
      <c r="U37" s="12"/>
      <c r="V37" s="4" t="s">
        <v>754</v>
      </c>
      <c r="X37" s="29" t="str">
        <f>IF(D37="","",(D37))</f>
        <v/>
      </c>
      <c r="Y37" s="29"/>
      <c r="Z37" s="29"/>
      <c r="AA37" s="29"/>
      <c r="AB37" s="29"/>
      <c r="AC37" s="8"/>
      <c r="AD37" s="29" t="str">
        <f>IF(J37="","",(J37))</f>
        <v/>
      </c>
      <c r="AE37" s="29"/>
      <c r="AF37" s="8"/>
      <c r="AG37" s="1671"/>
      <c r="AH37" s="1671"/>
      <c r="AI37" s="8"/>
      <c r="AJ37" s="1394" t="str">
        <f>IF(P37="","",(P37))</f>
        <v/>
      </c>
      <c r="AK37" s="26"/>
      <c r="AL37" s="19" t="str">
        <f>IF(R37="","",(R37))</f>
        <v/>
      </c>
    </row>
    <row r="38" spans="1:38" ht="15" customHeight="1" thickTop="1">
      <c r="A38" s="12"/>
      <c r="D38" s="1604" t="s">
        <v>413</v>
      </c>
      <c r="E38" s="1604"/>
      <c r="F38" s="1604"/>
      <c r="G38" s="1604"/>
      <c r="H38" s="1604"/>
      <c r="I38" s="21"/>
      <c r="J38" s="1604" t="s">
        <v>414</v>
      </c>
      <c r="K38" s="1604"/>
      <c r="L38" s="21"/>
      <c r="M38" s="1604" t="s">
        <v>415</v>
      </c>
      <c r="N38" s="1604"/>
      <c r="O38" s="21"/>
      <c r="P38" s="12" t="s">
        <v>417</v>
      </c>
      <c r="Q38" s="12"/>
      <c r="R38" s="12" t="s">
        <v>416</v>
      </c>
      <c r="U38" s="12"/>
      <c r="X38" s="1604" t="s">
        <v>413</v>
      </c>
      <c r="Y38" s="1604"/>
      <c r="Z38" s="1604"/>
      <c r="AA38" s="1604"/>
      <c r="AB38" s="1604"/>
      <c r="AC38" s="21"/>
      <c r="AD38" s="1604" t="s">
        <v>414</v>
      </c>
      <c r="AE38" s="1604"/>
      <c r="AF38" s="21"/>
      <c r="AG38" s="1604" t="s">
        <v>415</v>
      </c>
      <c r="AH38" s="1604"/>
      <c r="AI38" s="21"/>
      <c r="AJ38" s="12" t="s">
        <v>417</v>
      </c>
      <c r="AK38" s="12"/>
      <c r="AL38" s="12" t="s">
        <v>416</v>
      </c>
    </row>
    <row r="39" spans="1:38" ht="12" customHeight="1">
      <c r="A39" s="12"/>
      <c r="U39" s="12"/>
    </row>
    <row r="40" spans="1:38" ht="26.1" customHeight="1" thickBot="1">
      <c r="A40" s="12"/>
      <c r="B40" s="4" t="s">
        <v>755</v>
      </c>
      <c r="D40" s="1674"/>
      <c r="E40" s="1674"/>
      <c r="F40" s="1674"/>
      <c r="G40" s="1674"/>
      <c r="H40" s="1674"/>
      <c r="I40" s="8"/>
      <c r="J40" s="1601"/>
      <c r="K40" s="1601"/>
      <c r="L40" s="8"/>
      <c r="M40" s="1607"/>
      <c r="N40" s="1607"/>
      <c r="O40" s="8"/>
      <c r="P40" s="13"/>
      <c r="Q40" s="26"/>
      <c r="R40" s="13"/>
      <c r="U40" s="12"/>
      <c r="V40" s="4" t="s">
        <v>755</v>
      </c>
      <c r="X40" s="29" t="str">
        <f>IF(D40="","",(D40))</f>
        <v/>
      </c>
      <c r="Y40" s="29"/>
      <c r="Z40" s="29"/>
      <c r="AA40" s="29"/>
      <c r="AB40" s="29"/>
      <c r="AC40" s="8"/>
      <c r="AD40" s="29" t="str">
        <f>IF(J40="","",(J40))</f>
        <v/>
      </c>
      <c r="AE40" s="29"/>
      <c r="AF40" s="8"/>
      <c r="AG40" s="1671"/>
      <c r="AH40" s="1671"/>
      <c r="AI40" s="8"/>
      <c r="AJ40" s="1394" t="str">
        <f>IF(P40="","",(P40))</f>
        <v/>
      </c>
      <c r="AK40" s="26"/>
      <c r="AL40" s="19" t="str">
        <f>IF(R40="","",(R40))</f>
        <v/>
      </c>
    </row>
    <row r="41" spans="1:38" ht="15" customHeight="1" thickTop="1">
      <c r="A41" s="12"/>
      <c r="D41" s="1604" t="s">
        <v>413</v>
      </c>
      <c r="E41" s="1604"/>
      <c r="F41" s="1604"/>
      <c r="G41" s="1604"/>
      <c r="H41" s="1604"/>
      <c r="I41" s="21"/>
      <c r="J41" s="1604" t="s">
        <v>414</v>
      </c>
      <c r="K41" s="1604"/>
      <c r="L41" s="21"/>
      <c r="M41" s="1604" t="s">
        <v>415</v>
      </c>
      <c r="N41" s="1604"/>
      <c r="O41" s="21"/>
      <c r="P41" s="12" t="s">
        <v>417</v>
      </c>
      <c r="Q41" s="12"/>
      <c r="R41" s="12" t="s">
        <v>416</v>
      </c>
      <c r="U41" s="12"/>
      <c r="X41" s="1604" t="s">
        <v>413</v>
      </c>
      <c r="Y41" s="1604"/>
      <c r="Z41" s="1604"/>
      <c r="AA41" s="1604"/>
      <c r="AB41" s="1604"/>
      <c r="AC41" s="21"/>
      <c r="AD41" s="1604" t="s">
        <v>414</v>
      </c>
      <c r="AE41" s="1604"/>
      <c r="AF41" s="21"/>
      <c r="AG41" s="1604" t="s">
        <v>415</v>
      </c>
      <c r="AH41" s="1604"/>
      <c r="AI41" s="21"/>
      <c r="AJ41" s="12" t="s">
        <v>417</v>
      </c>
      <c r="AK41" s="12"/>
      <c r="AL41" s="12" t="s">
        <v>416</v>
      </c>
    </row>
    <row r="42" spans="1:38" ht="12" customHeight="1">
      <c r="A42" s="12"/>
      <c r="U42" s="12"/>
    </row>
    <row r="43" spans="1:38" ht="26.1" customHeight="1" thickBot="1">
      <c r="A43" s="12"/>
      <c r="B43" s="4" t="s">
        <v>756</v>
      </c>
      <c r="D43" s="1674"/>
      <c r="E43" s="1674"/>
      <c r="F43" s="1674"/>
      <c r="G43" s="1674"/>
      <c r="H43" s="1674"/>
      <c r="I43" s="8"/>
      <c r="J43" s="1601"/>
      <c r="K43" s="1601"/>
      <c r="L43" s="8"/>
      <c r="M43" s="1607"/>
      <c r="N43" s="1607"/>
      <c r="O43" s="8"/>
      <c r="P43" s="13"/>
      <c r="Q43" s="26"/>
      <c r="R43" s="13"/>
      <c r="U43" s="12"/>
      <c r="V43" s="4" t="s">
        <v>756</v>
      </c>
      <c r="X43" s="29" t="str">
        <f>IF(D43="","",(D43))</f>
        <v/>
      </c>
      <c r="Y43" s="29"/>
      <c r="Z43" s="29"/>
      <c r="AA43" s="29"/>
      <c r="AB43" s="29"/>
      <c r="AC43" s="8"/>
      <c r="AD43" s="29" t="str">
        <f>IF(J43="","",(J43))</f>
        <v/>
      </c>
      <c r="AE43" s="29"/>
      <c r="AF43" s="8"/>
      <c r="AG43" s="1671"/>
      <c r="AH43" s="1671"/>
      <c r="AI43" s="8"/>
      <c r="AJ43" s="1394" t="str">
        <f>IF(P43="","",(P43))</f>
        <v/>
      </c>
      <c r="AK43" s="26"/>
      <c r="AL43" s="19" t="str">
        <f>IF(R43="","",(R43))</f>
        <v/>
      </c>
    </row>
    <row r="44" spans="1:38" ht="15" customHeight="1" thickTop="1">
      <c r="A44" s="12"/>
      <c r="D44" s="1604" t="s">
        <v>413</v>
      </c>
      <c r="E44" s="1604"/>
      <c r="F44" s="1604"/>
      <c r="G44" s="1604"/>
      <c r="H44" s="1604"/>
      <c r="I44" s="21"/>
      <c r="J44" s="1604" t="s">
        <v>414</v>
      </c>
      <c r="K44" s="1604"/>
      <c r="L44" s="21"/>
      <c r="M44" s="1604" t="s">
        <v>415</v>
      </c>
      <c r="N44" s="1604"/>
      <c r="O44" s="21"/>
      <c r="P44" s="12" t="s">
        <v>417</v>
      </c>
      <c r="Q44" s="12"/>
      <c r="R44" s="12" t="s">
        <v>416</v>
      </c>
      <c r="U44" s="12"/>
      <c r="X44" s="1604" t="s">
        <v>413</v>
      </c>
      <c r="Y44" s="1604"/>
      <c r="Z44" s="1604"/>
      <c r="AA44" s="1604"/>
      <c r="AB44" s="1604"/>
      <c r="AC44" s="21"/>
      <c r="AD44" s="1604" t="s">
        <v>414</v>
      </c>
      <c r="AE44" s="1604"/>
      <c r="AF44" s="21"/>
      <c r="AG44" s="1604" t="s">
        <v>415</v>
      </c>
      <c r="AH44" s="1604"/>
      <c r="AI44" s="21"/>
      <c r="AJ44" s="12" t="s">
        <v>417</v>
      </c>
      <c r="AK44" s="12"/>
      <c r="AL44" s="12" t="s">
        <v>416</v>
      </c>
    </row>
    <row r="45" spans="1:38" ht="12" customHeight="1">
      <c r="A45" s="12"/>
      <c r="U45" s="12"/>
    </row>
    <row r="46" spans="1:38" ht="26.1" customHeight="1" thickBot="1">
      <c r="A46" s="12"/>
      <c r="B46" s="4" t="s">
        <v>757</v>
      </c>
      <c r="D46" s="1674"/>
      <c r="E46" s="1674"/>
      <c r="F46" s="1674"/>
      <c r="G46" s="1674"/>
      <c r="H46" s="1674"/>
      <c r="I46" s="8"/>
      <c r="J46" s="1601"/>
      <c r="K46" s="1601"/>
      <c r="L46" s="8"/>
      <c r="M46" s="1607"/>
      <c r="N46" s="1607"/>
      <c r="O46" s="8"/>
      <c r="P46" s="13"/>
      <c r="Q46" s="26"/>
      <c r="R46" s="13"/>
      <c r="U46" s="12"/>
      <c r="V46" s="4" t="s">
        <v>757</v>
      </c>
      <c r="X46" s="29" t="str">
        <f>IF(D46="","",(D46))</f>
        <v/>
      </c>
      <c r="Y46" s="29"/>
      <c r="Z46" s="29"/>
      <c r="AA46" s="29"/>
      <c r="AB46" s="29"/>
      <c r="AC46" s="8"/>
      <c r="AD46" s="29" t="str">
        <f>IF(J46="","",(J46))</f>
        <v/>
      </c>
      <c r="AE46" s="29"/>
      <c r="AF46" s="8"/>
      <c r="AG46" s="1671"/>
      <c r="AH46" s="1671"/>
      <c r="AI46" s="8"/>
      <c r="AJ46" s="1394" t="str">
        <f>IF(P46="","",(P46))</f>
        <v/>
      </c>
      <c r="AK46" s="26"/>
      <c r="AL46" s="19" t="str">
        <f>IF(R46="","",(R46))</f>
        <v/>
      </c>
    </row>
    <row r="47" spans="1:38" ht="15" customHeight="1" thickTop="1">
      <c r="A47" s="12"/>
      <c r="D47" s="1604" t="s">
        <v>413</v>
      </c>
      <c r="E47" s="1604"/>
      <c r="F47" s="1604"/>
      <c r="G47" s="1604"/>
      <c r="H47" s="1604"/>
      <c r="I47" s="21"/>
      <c r="J47" s="1604" t="s">
        <v>414</v>
      </c>
      <c r="K47" s="1604"/>
      <c r="L47" s="21"/>
      <c r="M47" s="1604" t="s">
        <v>415</v>
      </c>
      <c r="N47" s="1604"/>
      <c r="O47" s="21"/>
      <c r="P47" s="12" t="s">
        <v>417</v>
      </c>
      <c r="Q47" s="12"/>
      <c r="R47" s="12" t="s">
        <v>416</v>
      </c>
      <c r="U47" s="12"/>
      <c r="X47" s="1604" t="s">
        <v>413</v>
      </c>
      <c r="Y47" s="1604"/>
      <c r="Z47" s="1604"/>
      <c r="AA47" s="1604"/>
      <c r="AB47" s="1604"/>
      <c r="AC47" s="21"/>
      <c r="AD47" s="1604" t="s">
        <v>414</v>
      </c>
      <c r="AE47" s="1604"/>
      <c r="AF47" s="21"/>
      <c r="AG47" s="1604" t="s">
        <v>415</v>
      </c>
      <c r="AH47" s="1604"/>
      <c r="AI47" s="21"/>
      <c r="AJ47" s="12" t="s">
        <v>417</v>
      </c>
      <c r="AK47" s="12"/>
      <c r="AL47" s="12" t="s">
        <v>416</v>
      </c>
    </row>
    <row r="48" spans="1:38" ht="12" customHeight="1">
      <c r="A48" s="12"/>
      <c r="U48" s="12"/>
    </row>
    <row r="49" spans="1:38" ht="26.1" customHeight="1" thickBot="1">
      <c r="A49" s="12"/>
      <c r="B49" s="4" t="s">
        <v>758</v>
      </c>
      <c r="D49" s="1674"/>
      <c r="E49" s="1674"/>
      <c r="F49" s="1674"/>
      <c r="G49" s="1674"/>
      <c r="H49" s="1674"/>
      <c r="I49" s="8"/>
      <c r="J49" s="1601"/>
      <c r="K49" s="1601"/>
      <c r="L49" s="8"/>
      <c r="M49" s="1607"/>
      <c r="N49" s="1607"/>
      <c r="O49" s="8"/>
      <c r="P49" s="13"/>
      <c r="Q49" s="26"/>
      <c r="R49" s="13"/>
      <c r="U49" s="12"/>
      <c r="V49" s="4" t="s">
        <v>758</v>
      </c>
      <c r="X49" s="29" t="str">
        <f>IF(D49="","",(D49))</f>
        <v/>
      </c>
      <c r="Y49" s="29"/>
      <c r="Z49" s="29"/>
      <c r="AA49" s="29"/>
      <c r="AB49" s="29"/>
      <c r="AC49" s="8"/>
      <c r="AD49" s="29" t="str">
        <f>IF(J49="","",(J49))</f>
        <v/>
      </c>
      <c r="AE49" s="29"/>
      <c r="AF49" s="8"/>
      <c r="AG49" s="1671"/>
      <c r="AH49" s="1671"/>
      <c r="AI49" s="8"/>
      <c r="AJ49" s="1394" t="str">
        <f>IF(P49="","",(P49))</f>
        <v/>
      </c>
      <c r="AK49" s="26"/>
      <c r="AL49" s="19" t="str">
        <f>IF(R49="","",(R49))</f>
        <v/>
      </c>
    </row>
    <row r="50" spans="1:38" ht="15" customHeight="1" thickTop="1">
      <c r="A50" s="12"/>
      <c r="D50" s="1604" t="s">
        <v>413</v>
      </c>
      <c r="E50" s="1604"/>
      <c r="F50" s="1604"/>
      <c r="G50" s="1604"/>
      <c r="H50" s="1604"/>
      <c r="I50" s="21"/>
      <c r="J50" s="1604" t="s">
        <v>414</v>
      </c>
      <c r="K50" s="1604"/>
      <c r="L50" s="21"/>
      <c r="M50" s="1604" t="s">
        <v>415</v>
      </c>
      <c r="N50" s="1604"/>
      <c r="O50" s="21"/>
      <c r="P50" s="12" t="s">
        <v>417</v>
      </c>
      <c r="Q50" s="12"/>
      <c r="R50" s="12" t="s">
        <v>416</v>
      </c>
      <c r="U50" s="12"/>
      <c r="X50" s="1604" t="s">
        <v>413</v>
      </c>
      <c r="Y50" s="1604"/>
      <c r="Z50" s="1604"/>
      <c r="AA50" s="1604"/>
      <c r="AB50" s="1604"/>
      <c r="AC50" s="21"/>
      <c r="AD50" s="1604" t="s">
        <v>414</v>
      </c>
      <c r="AE50" s="1604"/>
      <c r="AF50" s="21"/>
      <c r="AG50" s="1604" t="s">
        <v>415</v>
      </c>
      <c r="AH50" s="1604"/>
      <c r="AI50" s="21"/>
      <c r="AJ50" s="12" t="s">
        <v>417</v>
      </c>
      <c r="AK50" s="12"/>
      <c r="AL50" s="12" t="s">
        <v>416</v>
      </c>
    </row>
    <row r="51" spans="1:38" ht="12" customHeight="1">
      <c r="A51" s="12"/>
      <c r="U51" s="12"/>
    </row>
    <row r="52" spans="1:38">
      <c r="AG52" s="39"/>
    </row>
  </sheetData>
  <sheetProtection algorithmName="SHA-512" hashValue="2pJQUHeuk4nGe1xpM1AR4yZY8bYjJaPOOawxVvEZhQY5kmoNrGhlLAuwudq7lkYIae6yEizm3UiIFIbxgCqX4w==" saltValue="MPZZFFGraS7sGlzplxCD+A==" spinCount="100000" sheet="1" objects="1" scenarios="1"/>
  <mergeCells count="152">
    <mergeCell ref="D49:H49"/>
    <mergeCell ref="J49:K49"/>
    <mergeCell ref="M49:N49"/>
    <mergeCell ref="D50:H50"/>
    <mergeCell ref="J50:K50"/>
    <mergeCell ref="M50:N50"/>
    <mergeCell ref="D46:H46"/>
    <mergeCell ref="J46:K46"/>
    <mergeCell ref="M46:N46"/>
    <mergeCell ref="D47:H47"/>
    <mergeCell ref="J47:K47"/>
    <mergeCell ref="M47:N47"/>
    <mergeCell ref="D43:H43"/>
    <mergeCell ref="J43:K43"/>
    <mergeCell ref="M43:N43"/>
    <mergeCell ref="D44:H44"/>
    <mergeCell ref="J44:K44"/>
    <mergeCell ref="M44:N44"/>
    <mergeCell ref="D40:H40"/>
    <mergeCell ref="J40:K40"/>
    <mergeCell ref="M40:N40"/>
    <mergeCell ref="D41:H41"/>
    <mergeCell ref="J41:K41"/>
    <mergeCell ref="M41:N41"/>
    <mergeCell ref="D37:H37"/>
    <mergeCell ref="J37:K37"/>
    <mergeCell ref="M37:N37"/>
    <mergeCell ref="D38:H38"/>
    <mergeCell ref="J38:K38"/>
    <mergeCell ref="M38:N38"/>
    <mergeCell ref="D34:H34"/>
    <mergeCell ref="J34:K34"/>
    <mergeCell ref="M34:N34"/>
    <mergeCell ref="D35:H35"/>
    <mergeCell ref="J35:K35"/>
    <mergeCell ref="M35:N35"/>
    <mergeCell ref="D31:H31"/>
    <mergeCell ref="J31:K31"/>
    <mergeCell ref="M31:N31"/>
    <mergeCell ref="D32:H32"/>
    <mergeCell ref="J32:K32"/>
    <mergeCell ref="M32:N32"/>
    <mergeCell ref="D28:H28"/>
    <mergeCell ref="J28:K28"/>
    <mergeCell ref="M28:N28"/>
    <mergeCell ref="D29:H29"/>
    <mergeCell ref="J29:K29"/>
    <mergeCell ref="M29:N29"/>
    <mergeCell ref="D25:H25"/>
    <mergeCell ref="J25:K25"/>
    <mergeCell ref="M25:N25"/>
    <mergeCell ref="D26:H26"/>
    <mergeCell ref="J26:K26"/>
    <mergeCell ref="M26:N26"/>
    <mergeCell ref="D22:H22"/>
    <mergeCell ref="J22:K22"/>
    <mergeCell ref="M22:N22"/>
    <mergeCell ref="D23:H23"/>
    <mergeCell ref="J23:K23"/>
    <mergeCell ref="M23:N23"/>
    <mergeCell ref="D19:H19"/>
    <mergeCell ref="J19:K19"/>
    <mergeCell ref="M19:N19"/>
    <mergeCell ref="D20:H20"/>
    <mergeCell ref="J20:K20"/>
    <mergeCell ref="M20:N20"/>
    <mergeCell ref="D16:H16"/>
    <mergeCell ref="J16:K16"/>
    <mergeCell ref="M16:N16"/>
    <mergeCell ref="D17:H17"/>
    <mergeCell ref="J17:K17"/>
    <mergeCell ref="M17:N17"/>
    <mergeCell ref="D13:H13"/>
    <mergeCell ref="J13:K13"/>
    <mergeCell ref="M13:N13"/>
    <mergeCell ref="D14:H14"/>
    <mergeCell ref="J14:K14"/>
    <mergeCell ref="M14:N14"/>
    <mergeCell ref="D10:H10"/>
    <mergeCell ref="J10:K10"/>
    <mergeCell ref="M10:N10"/>
    <mergeCell ref="D11:H11"/>
    <mergeCell ref="J11:K11"/>
    <mergeCell ref="M11:N11"/>
    <mergeCell ref="A3:R3"/>
    <mergeCell ref="D7:H7"/>
    <mergeCell ref="J7:K7"/>
    <mergeCell ref="M7:N7"/>
    <mergeCell ref="D8:H8"/>
    <mergeCell ref="J8:K8"/>
    <mergeCell ref="M8:N8"/>
    <mergeCell ref="AG49:AH49"/>
    <mergeCell ref="X50:AB50"/>
    <mergeCell ref="AD50:AE50"/>
    <mergeCell ref="AG50:AH50"/>
    <mergeCell ref="AG46:AH46"/>
    <mergeCell ref="X47:AB47"/>
    <mergeCell ref="AD47:AE47"/>
    <mergeCell ref="AG47:AH47"/>
    <mergeCell ref="AG43:AH43"/>
    <mergeCell ref="X44:AB44"/>
    <mergeCell ref="AD44:AE44"/>
    <mergeCell ref="AG44:AH44"/>
    <mergeCell ref="AG40:AH40"/>
    <mergeCell ref="X41:AB41"/>
    <mergeCell ref="AD41:AE41"/>
    <mergeCell ref="AG41:AH41"/>
    <mergeCell ref="AG37:AH37"/>
    <mergeCell ref="X38:AB38"/>
    <mergeCell ref="AD38:AE38"/>
    <mergeCell ref="AG38:AH38"/>
    <mergeCell ref="AD32:AE32"/>
    <mergeCell ref="AG32:AH32"/>
    <mergeCell ref="AG34:AH34"/>
    <mergeCell ref="X35:AB35"/>
    <mergeCell ref="AD35:AE35"/>
    <mergeCell ref="AG35:AH35"/>
    <mergeCell ref="AD26:AE26"/>
    <mergeCell ref="AG26:AH26"/>
    <mergeCell ref="AG28:AH28"/>
    <mergeCell ref="X29:AB29"/>
    <mergeCell ref="AD29:AE29"/>
    <mergeCell ref="AG29:AH29"/>
    <mergeCell ref="AG31:AH31"/>
    <mergeCell ref="X32:AB32"/>
    <mergeCell ref="X26:AB26"/>
    <mergeCell ref="AG19:AH19"/>
    <mergeCell ref="X20:AB20"/>
    <mergeCell ref="AD20:AE20"/>
    <mergeCell ref="AG20:AH20"/>
    <mergeCell ref="AG25:AH25"/>
    <mergeCell ref="AG22:AH22"/>
    <mergeCell ref="X23:AB23"/>
    <mergeCell ref="AD23:AE23"/>
    <mergeCell ref="AG23:AH23"/>
    <mergeCell ref="X17:AB17"/>
    <mergeCell ref="AD17:AE17"/>
    <mergeCell ref="AG17:AH17"/>
    <mergeCell ref="X14:AB14"/>
    <mergeCell ref="AG13:AH13"/>
    <mergeCell ref="AD14:AE14"/>
    <mergeCell ref="AG14:AH14"/>
    <mergeCell ref="AG16:AH16"/>
    <mergeCell ref="U3:AL3"/>
    <mergeCell ref="AG10:AH10"/>
    <mergeCell ref="X11:AB11"/>
    <mergeCell ref="AD11:AE11"/>
    <mergeCell ref="AG11:AH11"/>
    <mergeCell ref="AG7:AH7"/>
    <mergeCell ref="X8:AB8"/>
    <mergeCell ref="AD8:AE8"/>
    <mergeCell ref="AG8:AH8"/>
  </mergeCells>
  <dataValidations count="2">
    <dataValidation type="list" errorStyle="warning" showInputMessage="1" showErrorMessage="1" errorTitle="SmartDox" error="The value you entered for the dropdown is not valid." sqref="M49 AG10 AG13 AG16 AG19 AG22 AG25 AG28 AG31 AG34 AG37 AG40 AG43 AG46 AG49 M7 M10 M13 M16 M19 M22 M25 M28 M31 M34 M37 M40 M43 M46 AG7" xr:uid="{00000000-0002-0000-0200-000000000000}">
      <formula1>SD_D_PL_Jurisdiction_Name</formula1>
    </dataValidation>
    <dataValidation type="list" errorStyle="warning" showInputMessage="1" showErrorMessage="1" errorTitle="SmartDox" error="The value you entered for the dropdown is not valid." sqref="P28 P25 P22 P19 P16 P13 P10 P7 P46 P43 P40 P37 P34 P31 P49 AJ31 AJ28 AJ25 AJ22 AJ19 AJ16 AJ13 AJ10 AJ49 AJ46 AJ43 AJ40 AJ37 AJ34 AJ7" xr:uid="{00000000-0002-0000-0200-000001000000}">
      <formula1>SD_D_PL_State_Name</formula1>
    </dataValidation>
  </dataValidations>
  <pageMargins left="0.75" right="0.5" top="0.5" bottom="0.75" header="0" footer="0.5"/>
  <pageSetup scale="80" orientation="portrait" r:id="rId1"/>
  <headerFooter alignWithMargins="0">
    <oddFooter>&amp;C&amp;A&amp;R&amp;D &amp;T</oddFooter>
  </headerFooter>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pageSetUpPr fitToPage="1"/>
  </sheetPr>
  <dimension ref="A1:AF4058"/>
  <sheetViews>
    <sheetView zoomScaleNormal="100" workbookViewId="0"/>
  </sheetViews>
  <sheetFormatPr defaultColWidth="10.7109375" defaultRowHeight="12.75"/>
  <cols>
    <col min="1" max="1" width="4.7109375" style="4" customWidth="1"/>
    <col min="2" max="2" width="2.7109375" style="4" customWidth="1"/>
    <col min="3" max="3" width="3.42578125" style="4" customWidth="1"/>
    <col min="4" max="6" width="2.7109375" style="4" customWidth="1"/>
    <col min="7" max="7" width="6.7109375" style="1546" customWidth="1"/>
    <col min="8" max="8" width="4.7109375" style="4" customWidth="1"/>
    <col min="9" max="9" width="2.7109375" style="4" customWidth="1"/>
    <col min="10" max="10" width="4.7109375" style="4" customWidth="1"/>
    <col min="11" max="11" width="2.7109375" style="4" customWidth="1"/>
    <col min="12" max="14" width="4.7109375" style="4" customWidth="1"/>
    <col min="15" max="15" width="2.7109375" style="4" customWidth="1"/>
    <col min="16" max="16" width="8.7109375" style="4" customWidth="1"/>
    <col min="17" max="17" width="5.7109375" style="4" customWidth="1"/>
    <col min="18" max="18" width="7.7109375" style="4" customWidth="1"/>
    <col min="19" max="20" width="4.7109375" style="4" customWidth="1"/>
    <col min="21" max="21" width="11.7109375" style="4" customWidth="1"/>
    <col min="22" max="22" width="3.7109375" style="4" customWidth="1"/>
    <col min="23" max="23" width="12.7109375" style="4" customWidth="1"/>
    <col min="24" max="24" width="10.7109375" style="4" customWidth="1"/>
    <col min="25" max="25" width="10.7109375" style="4"/>
    <col min="26" max="26" width="15.7109375" style="4" customWidth="1"/>
    <col min="27" max="27" width="5.7109375" style="6" customWidth="1"/>
    <col min="28" max="31" width="10.7109375" style="4" hidden="1" customWidth="1"/>
    <col min="32" max="32" width="5.7109375" style="6" customWidth="1"/>
    <col min="33" max="16384" width="10.7109375" style="4"/>
  </cols>
  <sheetData>
    <row r="1" spans="1:32" s="814" customForma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303"/>
      <c r="V1" s="1303"/>
      <c r="W1" s="1294" t="str">
        <f>IF('FORM 1040-1'!$E$12="","",'FORM 1040-1'!$E$12)</f>
        <v/>
      </c>
      <c r="X1" s="2072" t="s">
        <v>1621</v>
      </c>
      <c r="Y1" s="2072"/>
      <c r="Z1" s="2072"/>
      <c r="AA1" s="6"/>
      <c r="AF1" s="6"/>
    </row>
    <row r="2" spans="1:32" s="814" customFormat="1">
      <c r="G2" s="1546"/>
      <c r="X2" s="2072"/>
      <c r="Y2" s="2072"/>
      <c r="Z2" s="2072"/>
      <c r="AA2" s="6"/>
      <c r="AF2" s="6"/>
    </row>
    <row r="3" spans="1:32" ht="26.1" customHeight="1">
      <c r="A3" s="81" t="s">
        <v>21</v>
      </c>
      <c r="B3" s="206" t="s">
        <v>55</v>
      </c>
      <c r="C3" s="158">
        <v>6</v>
      </c>
      <c r="D3" s="206" t="s">
        <v>282</v>
      </c>
      <c r="E3" s="206" t="s">
        <v>317</v>
      </c>
      <c r="F3" s="1668" t="s">
        <v>2849</v>
      </c>
      <c r="G3" s="1668"/>
      <c r="H3" s="1668"/>
      <c r="I3" s="1668"/>
      <c r="J3" s="1668"/>
      <c r="K3" s="1668"/>
      <c r="L3" s="1668"/>
      <c r="M3" s="1668"/>
      <c r="N3" s="1668"/>
      <c r="O3" s="1668"/>
      <c r="P3" s="1668"/>
      <c r="Q3" s="1668"/>
      <c r="R3" s="1668"/>
      <c r="S3" s="1668"/>
      <c r="T3" s="1668"/>
      <c r="U3" s="1668"/>
      <c r="V3" s="1668"/>
      <c r="W3" s="1668"/>
      <c r="X3" s="2072"/>
      <c r="Y3" s="2072"/>
      <c r="Z3" s="2072"/>
      <c r="AD3" s="22" t="b">
        <v>1</v>
      </c>
      <c r="AE3" s="22" t="b">
        <v>1</v>
      </c>
    </row>
    <row r="4" spans="1:32" ht="12" customHeight="1" thickBot="1">
      <c r="C4" s="202"/>
      <c r="D4" s="202"/>
      <c r="E4" s="202"/>
      <c r="F4" s="202"/>
      <c r="G4" s="1547"/>
      <c r="H4" s="202"/>
      <c r="I4" s="202"/>
      <c r="J4" s="202"/>
      <c r="K4" s="202"/>
      <c r="L4" s="202"/>
      <c r="M4" s="202"/>
      <c r="N4" s="202"/>
      <c r="O4" s="202"/>
      <c r="P4" s="202"/>
      <c r="Q4" s="202"/>
      <c r="R4" s="202"/>
      <c r="S4" s="202"/>
      <c r="T4" s="202"/>
      <c r="U4" s="202"/>
      <c r="V4" s="202"/>
      <c r="W4" s="202"/>
      <c r="Y4" s="424" t="s">
        <v>795</v>
      </c>
      <c r="AD4" s="22" t="b">
        <v>0</v>
      </c>
      <c r="AE4" s="22" t="b">
        <v>0</v>
      </c>
    </row>
    <row r="5" spans="1:32" ht="26.1" customHeight="1">
      <c r="C5" s="752"/>
      <c r="E5" s="206"/>
      <c r="F5" s="1736" t="s">
        <v>2804</v>
      </c>
      <c r="G5" s="1736"/>
      <c r="H5" s="1736"/>
      <c r="I5" s="1736"/>
      <c r="J5" s="1736"/>
      <c r="K5" s="1736"/>
      <c r="L5" s="1736"/>
      <c r="M5" s="1736"/>
      <c r="N5" s="1736"/>
      <c r="O5" s="1736"/>
      <c r="P5" s="1736"/>
      <c r="Q5" s="1736"/>
      <c r="R5" s="1736"/>
      <c r="S5" s="1736"/>
      <c r="T5" s="1736"/>
      <c r="U5" s="1736"/>
      <c r="V5" s="1736"/>
      <c r="W5" s="1736"/>
      <c r="X5" s="758"/>
      <c r="Z5" s="1546"/>
      <c r="AB5" s="710" t="s">
        <v>1650</v>
      </c>
      <c r="AC5" s="87" t="s">
        <v>764</v>
      </c>
      <c r="AE5" s="293" t="s">
        <v>312</v>
      </c>
    </row>
    <row r="6" spans="1:32" ht="6" customHeight="1" thickBot="1">
      <c r="B6" s="85"/>
      <c r="D6" s="202"/>
      <c r="E6" s="202"/>
      <c r="F6" s="202"/>
      <c r="G6" s="1547"/>
      <c r="H6" s="202"/>
      <c r="I6" s="202"/>
      <c r="J6" s="202"/>
      <c r="K6" s="202"/>
      <c r="L6" s="202"/>
      <c r="M6" s="202"/>
      <c r="N6" s="202"/>
      <c r="O6" s="202"/>
      <c r="P6" s="202"/>
      <c r="Q6" s="202"/>
      <c r="R6" s="202"/>
      <c r="S6" s="202"/>
      <c r="T6" s="202"/>
      <c r="U6" s="202"/>
      <c r="V6" s="202"/>
      <c r="W6" s="202"/>
    </row>
    <row r="7" spans="1:32" s="1546" customFormat="1" ht="39" customHeight="1" thickBot="1">
      <c r="C7" s="1547"/>
      <c r="E7" s="206"/>
      <c r="F7" s="206" t="s">
        <v>2799</v>
      </c>
      <c r="G7" s="1656" t="s">
        <v>2803</v>
      </c>
      <c r="H7" s="1656"/>
      <c r="I7" s="1656"/>
      <c r="J7" s="1656"/>
      <c r="K7" s="1656"/>
      <c r="L7" s="1656"/>
      <c r="M7" s="1656"/>
      <c r="N7" s="1656"/>
      <c r="O7" s="1656"/>
      <c r="P7" s="1656"/>
      <c r="Q7" s="1656"/>
      <c r="R7" s="1656"/>
      <c r="S7" s="1656"/>
      <c r="T7" s="1656"/>
      <c r="U7" s="1656"/>
      <c r="V7" s="1656"/>
      <c r="W7" s="1555"/>
      <c r="Y7" s="716">
        <f>(+AB7*'FORM 1040-15'!$S$9)+('FORM 1040-18'!AC7*'FORM 1040-15'!$S$11)</f>
        <v>0</v>
      </c>
      <c r="Z7" s="2116" t="str">
        <f>IF(AND(W7=TRUE,W9=TRUE),"ERROR: CAN ONLY SELECT TRUE FOR G.1.A. OR G.2.B., NOT BOTH","")</f>
        <v/>
      </c>
      <c r="AA7" s="6"/>
      <c r="AB7" s="425">
        <f>+AC7/2</f>
        <v>0</v>
      </c>
      <c r="AC7" s="425">
        <f>IF('FORM 1040-17'!V59&gt;0,0,IF(W7=TRUE,20,0))</f>
        <v>0</v>
      </c>
      <c r="AD7" s="1570">
        <f>MAX(Y7,Y9)</f>
        <v>0</v>
      </c>
      <c r="AE7" s="1566" t="s">
        <v>2820</v>
      </c>
      <c r="AF7" s="6"/>
    </row>
    <row r="8" spans="1:32" s="1546" customFormat="1" ht="15" customHeight="1" thickTop="1" thickBot="1">
      <c r="E8" s="1547"/>
      <c r="G8" s="2117" t="s">
        <v>798</v>
      </c>
      <c r="H8" s="2117"/>
      <c r="I8" s="2117"/>
      <c r="J8" s="2117"/>
      <c r="K8" s="2117"/>
      <c r="L8" s="2117"/>
      <c r="M8" s="2117"/>
      <c r="N8" s="2117"/>
      <c r="O8" s="2117"/>
      <c r="P8" s="2117"/>
      <c r="Q8" s="2117"/>
      <c r="R8" s="2117"/>
      <c r="S8" s="2117"/>
      <c r="T8" s="2117"/>
      <c r="U8" s="2117"/>
      <c r="V8" s="2117"/>
      <c r="W8" s="2117"/>
      <c r="Y8" s="1556" t="s">
        <v>798</v>
      </c>
      <c r="Z8" s="2116"/>
      <c r="AA8" s="6"/>
      <c r="AF8" s="6"/>
    </row>
    <row r="9" spans="1:32" s="1546" customFormat="1" ht="53.1" customHeight="1" thickBot="1">
      <c r="E9" s="206"/>
      <c r="F9" s="206" t="s">
        <v>2800</v>
      </c>
      <c r="G9" s="1656" t="s">
        <v>2875</v>
      </c>
      <c r="H9" s="2119"/>
      <c r="I9" s="2119"/>
      <c r="J9" s="2119"/>
      <c r="K9" s="2119"/>
      <c r="L9" s="2119"/>
      <c r="M9" s="2119"/>
      <c r="N9" s="2119"/>
      <c r="O9" s="2119"/>
      <c r="P9" s="2119"/>
      <c r="Q9" s="2119"/>
      <c r="R9" s="2119"/>
      <c r="S9" s="2119"/>
      <c r="T9" s="2119"/>
      <c r="U9" s="2119"/>
      <c r="V9" s="2119"/>
      <c r="W9" s="1555"/>
      <c r="Y9" s="716">
        <f>(+AB9*'FORM 1040-15'!$S$9)+('FORM 1040-18'!AC9*'FORM 1040-15'!$S$11)</f>
        <v>0</v>
      </c>
      <c r="Z9" s="2116"/>
      <c r="AA9" s="6"/>
      <c r="AB9" s="425">
        <f>+AC9/2</f>
        <v>0</v>
      </c>
      <c r="AC9" s="425">
        <f>IF('FORM 1040-17'!V59&gt;0,0,IF(W9=TRUE,10,0))</f>
        <v>0</v>
      </c>
      <c r="AF9" s="6"/>
    </row>
    <row r="10" spans="1:32" s="1546" customFormat="1" ht="6" customHeight="1" thickTop="1">
      <c r="B10" s="1553"/>
      <c r="D10" s="1547"/>
      <c r="E10" s="1547"/>
      <c r="F10" s="1547"/>
      <c r="G10" s="1547"/>
      <c r="H10" s="1547"/>
      <c r="I10" s="1547"/>
      <c r="J10" s="1547"/>
      <c r="K10" s="1547"/>
      <c r="L10" s="1547"/>
      <c r="M10" s="1547"/>
      <c r="N10" s="1547"/>
      <c r="O10" s="1547"/>
      <c r="P10" s="1547"/>
      <c r="Q10" s="1547"/>
      <c r="R10" s="1547"/>
      <c r="S10" s="1547"/>
      <c r="T10" s="1547"/>
      <c r="U10" s="1547"/>
      <c r="V10" s="1547"/>
      <c r="W10" s="1547"/>
      <c r="AA10" s="6"/>
      <c r="AF10" s="6"/>
    </row>
    <row r="11" spans="1:32" s="1546" customFormat="1" ht="15" customHeight="1">
      <c r="A11" s="1548"/>
      <c r="B11" s="1553"/>
      <c r="C11" s="132"/>
      <c r="D11" s="1553" t="s">
        <v>290</v>
      </c>
      <c r="E11" s="1694" t="s">
        <v>1913</v>
      </c>
      <c r="F11" s="1694"/>
      <c r="G11" s="1694"/>
      <c r="H11" s="1694"/>
      <c r="I11" s="1694"/>
      <c r="J11" s="1694"/>
      <c r="K11" s="1694"/>
      <c r="L11" s="1694"/>
      <c r="M11" s="1694"/>
      <c r="N11" s="1694"/>
      <c r="O11" s="1694"/>
      <c r="P11" s="1694"/>
      <c r="Q11" s="1694"/>
      <c r="R11" s="1694"/>
      <c r="S11" s="1694"/>
      <c r="T11" s="1694"/>
      <c r="U11" s="1694"/>
      <c r="V11" s="1694"/>
      <c r="W11" s="1694"/>
      <c r="AA11" s="6"/>
      <c r="AF11" s="6"/>
    </row>
    <row r="12" spans="1:32" s="1546" customFormat="1" ht="12" customHeight="1">
      <c r="C12" s="1547"/>
      <c r="D12" s="1547"/>
      <c r="E12" s="1547"/>
      <c r="F12" s="1547"/>
      <c r="G12" s="1547"/>
      <c r="H12" s="1547"/>
      <c r="I12" s="1547"/>
      <c r="J12" s="1547"/>
      <c r="K12" s="1547"/>
      <c r="L12" s="1547"/>
      <c r="M12" s="1547"/>
      <c r="N12" s="1547"/>
      <c r="O12" s="1547"/>
      <c r="P12" s="1547"/>
      <c r="Q12" s="1547"/>
      <c r="R12" s="1547"/>
      <c r="S12" s="1547"/>
      <c r="T12" s="1547"/>
      <c r="U12" s="1547"/>
      <c r="V12" s="1547"/>
      <c r="W12" s="1547"/>
      <c r="AA12" s="6"/>
      <c r="AF12" s="6"/>
    </row>
    <row r="13" spans="1:32" s="1546" customFormat="1" ht="39" customHeight="1" thickBot="1">
      <c r="C13" s="1547"/>
      <c r="E13" s="206" t="s">
        <v>316</v>
      </c>
      <c r="F13" s="1656" t="s">
        <v>1780</v>
      </c>
      <c r="G13" s="1656"/>
      <c r="H13" s="1656"/>
      <c r="I13" s="1656"/>
      <c r="J13" s="1656"/>
      <c r="K13" s="1656"/>
      <c r="L13" s="1656"/>
      <c r="M13" s="1656"/>
      <c r="N13" s="1656"/>
      <c r="O13" s="1656"/>
      <c r="P13" s="1656"/>
      <c r="Q13" s="1656"/>
      <c r="R13" s="1656"/>
      <c r="S13" s="1656"/>
      <c r="T13" s="1656"/>
      <c r="U13" s="1656"/>
      <c r="V13" s="1656"/>
      <c r="W13" s="1555"/>
      <c r="Z13" s="2116" t="str">
        <f>IF(AND(W13=TRUE,W15=TRUE),"ERROR: CAN ONLY SELECT TRUE FOR H.1 OR H.2., NOT BOTH","")</f>
        <v/>
      </c>
      <c r="AA13" s="6"/>
      <c r="AB13" s="710"/>
      <c r="AC13" s="1551"/>
      <c r="AF13" s="6"/>
    </row>
    <row r="14" spans="1:32" s="1546" customFormat="1" ht="15" customHeight="1" thickTop="1" thickBot="1">
      <c r="E14" s="1547"/>
      <c r="F14" s="2117" t="s">
        <v>798</v>
      </c>
      <c r="G14" s="2117"/>
      <c r="H14" s="2118"/>
      <c r="I14" s="2118"/>
      <c r="J14" s="2118"/>
      <c r="K14" s="2118"/>
      <c r="L14" s="2118"/>
      <c r="M14" s="2118"/>
      <c r="N14" s="2118"/>
      <c r="O14" s="2118"/>
      <c r="P14" s="2118"/>
      <c r="Q14" s="2118"/>
      <c r="R14" s="2118"/>
      <c r="S14" s="2118"/>
      <c r="T14" s="2118"/>
      <c r="U14" s="2118"/>
      <c r="V14" s="2118"/>
      <c r="W14" s="2118"/>
      <c r="Z14" s="2116"/>
      <c r="AA14" s="6"/>
      <c r="AF14" s="6"/>
    </row>
    <row r="15" spans="1:32" s="1546" customFormat="1" ht="39" customHeight="1" thickBot="1">
      <c r="E15" s="206" t="s">
        <v>317</v>
      </c>
      <c r="F15" s="1656" t="s">
        <v>1781</v>
      </c>
      <c r="G15" s="1656"/>
      <c r="H15" s="1656"/>
      <c r="I15" s="1656"/>
      <c r="J15" s="1656"/>
      <c r="K15" s="1656"/>
      <c r="L15" s="1656"/>
      <c r="M15" s="1656"/>
      <c r="N15" s="1656"/>
      <c r="O15" s="1656"/>
      <c r="P15" s="1656"/>
      <c r="Q15" s="1656"/>
      <c r="R15" s="1656"/>
      <c r="S15" s="1656"/>
      <c r="T15" s="1656"/>
      <c r="U15" s="1656"/>
      <c r="V15" s="1656"/>
      <c r="W15" s="1555"/>
      <c r="Y15" s="716">
        <f>(+AB15*'FORM 1040-15'!$S$9)+('FORM 1040-18'!AC15*'FORM 1040-15'!$S$11)</f>
        <v>0</v>
      </c>
      <c r="Z15" s="2116"/>
      <c r="AA15" s="6"/>
      <c r="AB15" s="425">
        <f>+AC15/2</f>
        <v>0</v>
      </c>
      <c r="AC15" s="425">
        <f>IF(OR(W13=TRUE,W15=TRUE),10,0)</f>
        <v>0</v>
      </c>
      <c r="AF15" s="6"/>
    </row>
    <row r="16" spans="1:32" s="1546" customFormat="1" ht="6" customHeight="1" thickTop="1">
      <c r="B16" s="1553"/>
      <c r="D16" s="1547"/>
      <c r="E16" s="1547"/>
      <c r="F16" s="1547"/>
      <c r="G16" s="1547"/>
      <c r="H16" s="1547"/>
      <c r="I16" s="1547"/>
      <c r="J16" s="1547"/>
      <c r="K16" s="1547"/>
      <c r="L16" s="1547"/>
      <c r="M16" s="1547"/>
      <c r="N16" s="1547"/>
      <c r="O16" s="1547"/>
      <c r="P16" s="1547"/>
      <c r="Q16" s="1547"/>
      <c r="R16" s="1547"/>
      <c r="S16" s="1547"/>
      <c r="T16" s="1547"/>
      <c r="U16" s="1547"/>
      <c r="V16" s="1547"/>
      <c r="W16" s="1547"/>
      <c r="AA16" s="6"/>
      <c r="AF16" s="6"/>
    </row>
    <row r="17" spans="2:32" ht="15" customHeight="1">
      <c r="B17" s="85" t="s">
        <v>56</v>
      </c>
      <c r="C17" s="1593" t="s">
        <v>799</v>
      </c>
      <c r="D17" s="1593"/>
      <c r="E17" s="1593"/>
      <c r="F17" s="1593"/>
      <c r="G17" s="1593"/>
      <c r="H17" s="1593"/>
      <c r="I17" s="1593"/>
      <c r="J17" s="1593"/>
      <c r="K17" s="1593"/>
      <c r="L17" s="1593"/>
      <c r="M17" s="1593"/>
      <c r="N17" s="1593"/>
      <c r="O17" s="1593"/>
      <c r="P17" s="1593"/>
      <c r="Q17" s="1593"/>
      <c r="R17" s="1593"/>
      <c r="S17" s="1593"/>
      <c r="T17" s="1593"/>
      <c r="U17" s="1593"/>
      <c r="V17" s="1593"/>
      <c r="W17" s="1593"/>
    </row>
    <row r="18" spans="2:32" ht="12" customHeight="1">
      <c r="C18" s="37"/>
      <c r="D18" s="37"/>
      <c r="E18" s="37"/>
      <c r="F18" s="37"/>
      <c r="G18" s="1550"/>
      <c r="H18" s="37"/>
      <c r="I18" s="37"/>
      <c r="J18" s="37"/>
      <c r="K18" s="37"/>
      <c r="L18" s="37"/>
      <c r="M18" s="37"/>
      <c r="N18" s="37"/>
      <c r="O18" s="37"/>
      <c r="P18" s="37"/>
      <c r="Q18" s="37"/>
      <c r="R18" s="37"/>
    </row>
    <row r="19" spans="2:32" s="758" customFormat="1" ht="15" customHeight="1">
      <c r="C19" s="132">
        <v>1</v>
      </c>
      <c r="D19" s="1694" t="s">
        <v>1782</v>
      </c>
      <c r="E19" s="1694"/>
      <c r="F19" s="1694"/>
      <c r="G19" s="1694"/>
      <c r="H19" s="1694"/>
      <c r="I19" s="1694"/>
      <c r="J19" s="1694"/>
      <c r="K19" s="1694"/>
      <c r="L19" s="1694"/>
      <c r="M19" s="1694"/>
      <c r="N19" s="1694"/>
      <c r="O19" s="1694"/>
      <c r="P19" s="1694"/>
      <c r="Q19" s="1694"/>
      <c r="R19" s="1694"/>
      <c r="S19" s="1694"/>
      <c r="T19" s="1694"/>
      <c r="U19" s="1694"/>
      <c r="V19" s="1694"/>
      <c r="W19" s="1694"/>
      <c r="AA19" s="6"/>
      <c r="AF19" s="6"/>
    </row>
    <row r="20" spans="2:32" s="758" customFormat="1" ht="6" customHeight="1" thickBot="1">
      <c r="C20" s="132"/>
      <c r="D20" s="753"/>
      <c r="E20" s="753"/>
      <c r="F20" s="753"/>
      <c r="G20" s="1550"/>
      <c r="H20" s="753"/>
      <c r="I20" s="753"/>
      <c r="J20" s="753"/>
      <c r="K20" s="753"/>
      <c r="L20" s="753"/>
      <c r="M20" s="753"/>
      <c r="N20" s="753"/>
      <c r="O20" s="753"/>
      <c r="P20" s="753"/>
      <c r="Q20" s="753"/>
      <c r="R20" s="753"/>
      <c r="AA20" s="6"/>
      <c r="AF20" s="6"/>
    </row>
    <row r="21" spans="2:32" ht="15" customHeight="1" thickBot="1">
      <c r="C21" s="132"/>
      <c r="D21" s="1593" t="s">
        <v>2876</v>
      </c>
      <c r="E21" s="1593"/>
      <c r="F21" s="1593"/>
      <c r="G21" s="1593"/>
      <c r="H21" s="1593"/>
      <c r="I21" s="1593"/>
      <c r="J21" s="1593"/>
      <c r="K21" s="1593"/>
      <c r="L21" s="1593"/>
      <c r="M21" s="1593"/>
      <c r="N21" s="1593"/>
      <c r="O21" s="1593"/>
      <c r="P21" s="1593"/>
      <c r="Q21" s="1593"/>
      <c r="R21" s="1593"/>
      <c r="S21" s="1593"/>
      <c r="T21" s="1593"/>
      <c r="U21" s="1593"/>
      <c r="V21" s="1593"/>
      <c r="W21" s="444"/>
      <c r="Y21" s="425">
        <f>IF(W21=TRUE,3,0)</f>
        <v>0</v>
      </c>
    </row>
    <row r="22" spans="2:32" ht="6" customHeight="1" thickTop="1">
      <c r="C22" s="37"/>
      <c r="D22" s="37"/>
      <c r="E22" s="37"/>
      <c r="F22" s="37"/>
      <c r="G22" s="1550"/>
      <c r="H22" s="37"/>
      <c r="I22" s="37"/>
      <c r="J22" s="37"/>
      <c r="K22" s="37"/>
      <c r="L22" s="37"/>
      <c r="M22" s="37"/>
      <c r="N22" s="37"/>
      <c r="O22" s="37"/>
      <c r="P22" s="37"/>
      <c r="Q22" s="37"/>
      <c r="R22" s="37"/>
    </row>
    <row r="23" spans="2:32" s="758" customFormat="1" ht="15" customHeight="1">
      <c r="C23" s="132">
        <v>2</v>
      </c>
      <c r="D23" s="1694" t="s">
        <v>1783</v>
      </c>
      <c r="E23" s="1694"/>
      <c r="F23" s="1694"/>
      <c r="G23" s="1694"/>
      <c r="H23" s="1694"/>
      <c r="I23" s="1694"/>
      <c r="J23" s="1694"/>
      <c r="K23" s="1694"/>
      <c r="L23" s="1694"/>
      <c r="M23" s="1694"/>
      <c r="N23" s="1694"/>
      <c r="O23" s="1694"/>
      <c r="P23" s="1694"/>
      <c r="Q23" s="1694"/>
      <c r="R23" s="1694"/>
      <c r="S23" s="1694"/>
      <c r="T23" s="1694"/>
      <c r="U23" s="1694"/>
      <c r="V23" s="1694"/>
      <c r="W23" s="1694"/>
      <c r="AA23" s="6"/>
      <c r="AF23" s="6"/>
    </row>
    <row r="24" spans="2:32" s="758" customFormat="1" ht="6" customHeight="1" thickBot="1">
      <c r="C24" s="753"/>
      <c r="D24" s="753"/>
      <c r="E24" s="753"/>
      <c r="F24" s="753"/>
      <c r="G24" s="1550"/>
      <c r="H24" s="753"/>
      <c r="I24" s="753"/>
      <c r="J24" s="753"/>
      <c r="K24" s="753"/>
      <c r="L24" s="753"/>
      <c r="M24" s="753"/>
      <c r="N24" s="753"/>
      <c r="O24" s="753"/>
      <c r="P24" s="753"/>
      <c r="Q24" s="753"/>
      <c r="R24" s="753"/>
      <c r="AA24" s="6"/>
      <c r="AF24" s="6"/>
    </row>
    <row r="25" spans="2:32" ht="18" customHeight="1" thickBot="1">
      <c r="C25" s="132"/>
      <c r="D25" s="1593" t="s">
        <v>2877</v>
      </c>
      <c r="E25" s="1593"/>
      <c r="F25" s="1593"/>
      <c r="G25" s="1593"/>
      <c r="H25" s="1593"/>
      <c r="I25" s="1593"/>
      <c r="J25" s="1593"/>
      <c r="K25" s="1593"/>
      <c r="L25" s="1593"/>
      <c r="M25" s="1593"/>
      <c r="N25" s="1593"/>
      <c r="O25" s="1593"/>
      <c r="P25" s="1593"/>
      <c r="Q25" s="1593"/>
      <c r="R25" s="1593"/>
      <c r="S25" s="1593"/>
      <c r="T25" s="1593"/>
      <c r="U25" s="1593"/>
      <c r="V25" s="1593"/>
      <c r="W25" s="1567"/>
      <c r="Y25" s="425">
        <f>IF(W25=TRUE,4,0)</f>
        <v>0</v>
      </c>
    </row>
    <row r="26" spans="2:32" ht="6" customHeight="1" thickTop="1">
      <c r="C26" s="37"/>
      <c r="D26" s="37"/>
      <c r="E26" s="37"/>
      <c r="F26" s="37"/>
      <c r="G26" s="1550"/>
      <c r="H26" s="37"/>
      <c r="I26" s="37"/>
      <c r="J26" s="37"/>
      <c r="K26" s="37"/>
      <c r="L26" s="37"/>
      <c r="M26" s="37"/>
      <c r="N26" s="37"/>
      <c r="O26" s="37"/>
      <c r="P26" s="37"/>
      <c r="Q26" s="37"/>
      <c r="R26" s="37"/>
    </row>
    <row r="27" spans="2:32" s="758" customFormat="1" ht="26.1" customHeight="1">
      <c r="C27" s="158">
        <v>3</v>
      </c>
      <c r="D27" s="1656" t="s">
        <v>2635</v>
      </c>
      <c r="E27" s="1656"/>
      <c r="F27" s="1656"/>
      <c r="G27" s="1656"/>
      <c r="H27" s="1656"/>
      <c r="I27" s="1656"/>
      <c r="J27" s="1656"/>
      <c r="K27" s="1656"/>
      <c r="L27" s="1656"/>
      <c r="M27" s="1656"/>
      <c r="N27" s="1656"/>
      <c r="O27" s="1656"/>
      <c r="P27" s="1656"/>
      <c r="Q27" s="1656"/>
      <c r="R27" s="1656"/>
      <c r="S27" s="1656"/>
      <c r="T27" s="1656"/>
      <c r="U27" s="1656"/>
      <c r="V27" s="1656"/>
      <c r="W27" s="1656"/>
      <c r="AA27" s="6"/>
      <c r="AF27" s="6"/>
    </row>
    <row r="28" spans="2:32" s="758" customFormat="1" ht="6" customHeight="1" thickBot="1">
      <c r="C28" s="753"/>
      <c r="D28" s="753"/>
      <c r="E28" s="753"/>
      <c r="F28" s="753"/>
      <c r="G28" s="1550"/>
      <c r="H28" s="753"/>
      <c r="I28" s="753"/>
      <c r="J28" s="753"/>
      <c r="K28" s="753"/>
      <c r="L28" s="753"/>
      <c r="M28" s="753"/>
      <c r="N28" s="753"/>
      <c r="O28" s="753"/>
      <c r="P28" s="753"/>
      <c r="Q28" s="753"/>
      <c r="R28" s="753"/>
      <c r="AA28" s="6"/>
      <c r="AF28" s="6"/>
    </row>
    <row r="29" spans="2:32" ht="26.1" customHeight="1" thickBot="1">
      <c r="C29" s="132"/>
      <c r="D29" s="1656" t="s">
        <v>2636</v>
      </c>
      <c r="E29" s="1656"/>
      <c r="F29" s="1656"/>
      <c r="G29" s="1656"/>
      <c r="H29" s="1656"/>
      <c r="I29" s="1656"/>
      <c r="J29" s="1656"/>
      <c r="K29" s="1656"/>
      <c r="L29" s="1656"/>
      <c r="M29" s="1656"/>
      <c r="N29" s="1656"/>
      <c r="O29" s="1656"/>
      <c r="P29" s="1656"/>
      <c r="Q29" s="1656"/>
      <c r="R29" s="1656"/>
      <c r="S29" s="1656"/>
      <c r="T29" s="1656"/>
      <c r="U29" s="1656"/>
      <c r="V29" s="1656"/>
      <c r="W29" s="1567"/>
      <c r="Y29" s="425">
        <f>IF(W29=TRUE,3,0)</f>
        <v>0</v>
      </c>
    </row>
    <row r="30" spans="2:32" ht="6" customHeight="1" thickTop="1">
      <c r="C30" s="37"/>
      <c r="D30" s="37"/>
      <c r="E30" s="37"/>
      <c r="F30" s="37"/>
      <c r="G30" s="1550"/>
      <c r="H30" s="37"/>
      <c r="I30" s="37"/>
      <c r="J30" s="37"/>
      <c r="K30" s="37"/>
      <c r="L30" s="37"/>
      <c r="M30" s="37"/>
      <c r="N30" s="37"/>
      <c r="O30" s="37"/>
      <c r="P30" s="37"/>
      <c r="Q30" s="37"/>
      <c r="R30" s="37"/>
    </row>
    <row r="31" spans="2:32" ht="15" customHeight="1">
      <c r="B31" s="85" t="s">
        <v>105</v>
      </c>
      <c r="C31" s="1656" t="s">
        <v>2850</v>
      </c>
      <c r="D31" s="1656"/>
      <c r="E31" s="1656"/>
      <c r="F31" s="1656"/>
      <c r="G31" s="1656"/>
      <c r="H31" s="1656"/>
      <c r="I31" s="1656"/>
      <c r="J31" s="1656"/>
      <c r="K31" s="1656"/>
      <c r="L31" s="1656"/>
      <c r="M31" s="1656"/>
      <c r="N31" s="1656"/>
      <c r="O31" s="1656"/>
      <c r="P31" s="1656"/>
      <c r="Q31" s="1656"/>
      <c r="R31" s="1656"/>
      <c r="S31" s="1656"/>
      <c r="T31" s="1656"/>
      <c r="U31" s="1656"/>
      <c r="V31" s="1656"/>
      <c r="W31" s="1656"/>
    </row>
    <row r="32" spans="2:32" ht="12" customHeight="1">
      <c r="C32" s="37"/>
      <c r="D32" s="37"/>
      <c r="E32" s="37"/>
      <c r="F32" s="37"/>
      <c r="G32" s="1550"/>
      <c r="H32" s="37"/>
      <c r="I32" s="37"/>
      <c r="J32" s="37"/>
      <c r="K32" s="37"/>
      <c r="L32" s="37"/>
      <c r="M32" s="37"/>
      <c r="N32" s="37"/>
      <c r="O32" s="37"/>
      <c r="P32" s="37"/>
      <c r="Q32" s="37"/>
      <c r="R32" s="37"/>
    </row>
    <row r="33" spans="1:32" s="753" customFormat="1" ht="15" customHeight="1">
      <c r="C33" s="132">
        <v>1</v>
      </c>
      <c r="D33" s="1694" t="s">
        <v>1784</v>
      </c>
      <c r="E33" s="1694"/>
      <c r="F33" s="1694"/>
      <c r="G33" s="1694"/>
      <c r="H33" s="1694"/>
      <c r="I33" s="1694"/>
      <c r="J33" s="1694"/>
      <c r="K33" s="1694"/>
      <c r="L33" s="1694"/>
      <c r="M33" s="1694"/>
      <c r="N33" s="1694"/>
      <c r="O33" s="1694"/>
      <c r="P33" s="1694"/>
      <c r="Q33" s="1694"/>
      <c r="R33" s="1694"/>
      <c r="S33" s="1694"/>
      <c r="T33" s="1694"/>
      <c r="U33" s="1694"/>
      <c r="V33" s="1694"/>
      <c r="W33" s="1694"/>
      <c r="AA33" s="318"/>
      <c r="AF33" s="318"/>
    </row>
    <row r="34" spans="1:32" s="758" customFormat="1" ht="6" customHeight="1">
      <c r="C34" s="753"/>
      <c r="D34" s="753"/>
      <c r="E34" s="753"/>
      <c r="F34" s="753"/>
      <c r="G34" s="1550"/>
      <c r="H34" s="753"/>
      <c r="I34" s="753"/>
      <c r="J34" s="753"/>
      <c r="K34" s="753"/>
      <c r="L34" s="753"/>
      <c r="M34" s="753"/>
      <c r="N34" s="753"/>
      <c r="O34" s="753"/>
      <c r="P34" s="753"/>
      <c r="Q34" s="753"/>
      <c r="R34" s="753"/>
      <c r="AA34" s="6"/>
      <c r="AF34" s="6"/>
    </row>
    <row r="35" spans="1:32" ht="26.1" customHeight="1">
      <c r="C35" s="158"/>
      <c r="D35" s="1656" t="s">
        <v>1786</v>
      </c>
      <c r="E35" s="1656"/>
      <c r="F35" s="1656"/>
      <c r="G35" s="1656"/>
      <c r="H35" s="1656"/>
      <c r="I35" s="1656"/>
      <c r="J35" s="1656"/>
      <c r="K35" s="1656"/>
      <c r="L35" s="1656"/>
      <c r="M35" s="1656"/>
      <c r="N35" s="1656"/>
      <c r="O35" s="1656"/>
      <c r="P35" s="1656"/>
      <c r="Q35" s="1656"/>
      <c r="R35" s="1656"/>
      <c r="S35" s="1656"/>
      <c r="T35" s="1656"/>
      <c r="U35" s="1656"/>
      <c r="V35" s="1656"/>
      <c r="W35" s="1656"/>
    </row>
    <row r="36" spans="1:32" ht="15" customHeight="1" thickBot="1">
      <c r="C36" s="24"/>
      <c r="D36" s="1593" t="s">
        <v>801</v>
      </c>
      <c r="E36" s="1593"/>
      <c r="F36" s="1593"/>
      <c r="G36" s="1547"/>
      <c r="H36" s="1601"/>
      <c r="I36" s="1601"/>
      <c r="J36" s="1601"/>
      <c r="K36" s="1601"/>
      <c r="N36" s="1997" t="s">
        <v>800</v>
      </c>
      <c r="O36" s="1997"/>
      <c r="P36" s="1997"/>
      <c r="Q36" s="1601"/>
      <c r="R36" s="1601"/>
      <c r="S36" s="8"/>
      <c r="T36" s="8"/>
      <c r="U36" s="2112" t="s">
        <v>804</v>
      </c>
      <c r="V36" s="2112"/>
      <c r="W36" s="444"/>
      <c r="AB36" s="750"/>
    </row>
    <row r="37" spans="1:32" ht="15" customHeight="1" thickTop="1" thickBot="1">
      <c r="C37" s="172"/>
      <c r="D37" s="1593" t="s">
        <v>802</v>
      </c>
      <c r="E37" s="1593"/>
      <c r="F37" s="1593"/>
      <c r="G37" s="1547"/>
      <c r="H37" s="1655"/>
      <c r="I37" s="1655"/>
      <c r="J37" s="1655"/>
      <c r="K37" s="1655"/>
      <c r="N37" s="1997" t="s">
        <v>803</v>
      </c>
      <c r="O37" s="1997"/>
      <c r="P37" s="1997"/>
      <c r="Q37" s="1655"/>
      <c r="R37" s="1655"/>
      <c r="S37" s="172"/>
      <c r="T37" s="172"/>
      <c r="U37" s="172"/>
      <c r="V37" s="172"/>
      <c r="W37" s="172"/>
      <c r="Y37" s="425">
        <f>IF(OR(H36=TRUE,H37=TRUE,Q36=TRUE,Q37=TRUE,W36=TRUE),20,0)</f>
        <v>0</v>
      </c>
      <c r="Z37" s="2111" t="str">
        <f>IF(AND(Y37&gt;0,Y45&gt;0),"ERROR: CAN ONLY CHOOSE POPULATIONS FROM E.1 OR E.2., NOT BOTH","")</f>
        <v/>
      </c>
      <c r="AB37" s="750"/>
    </row>
    <row r="38" spans="1:32" s="758" customFormat="1" ht="6" customHeight="1" thickTop="1">
      <c r="A38" s="39"/>
      <c r="B38" s="39"/>
      <c r="C38" s="760"/>
      <c r="D38" s="757"/>
      <c r="E38" s="757"/>
      <c r="F38" s="757"/>
      <c r="G38" s="1554"/>
      <c r="H38" s="746"/>
      <c r="I38" s="746"/>
      <c r="J38" s="746"/>
      <c r="K38" s="746"/>
      <c r="L38" s="39"/>
      <c r="M38" s="39"/>
      <c r="N38" s="778"/>
      <c r="O38" s="778"/>
      <c r="P38" s="778"/>
      <c r="Q38" s="746"/>
      <c r="R38" s="746"/>
      <c r="S38" s="760"/>
      <c r="T38" s="760"/>
      <c r="U38" s="760"/>
      <c r="V38" s="760"/>
      <c r="W38" s="760"/>
      <c r="X38" s="39"/>
      <c r="Y38" s="747"/>
      <c r="Z38" s="2111"/>
      <c r="AA38" s="6"/>
      <c r="AB38" s="750"/>
      <c r="AF38" s="6"/>
    </row>
    <row r="39" spans="1:32" ht="15" customHeight="1">
      <c r="C39" s="24"/>
      <c r="D39" s="2114" t="s">
        <v>798</v>
      </c>
      <c r="E39" s="2115"/>
      <c r="F39" s="2115"/>
      <c r="G39" s="2115"/>
      <c r="H39" s="2115"/>
      <c r="I39" s="2115"/>
      <c r="J39" s="2115"/>
      <c r="K39" s="2115"/>
      <c r="L39" s="2115"/>
      <c r="M39" s="2115"/>
      <c r="N39" s="2115"/>
      <c r="O39" s="2115"/>
      <c r="P39" s="2115"/>
      <c r="Q39" s="2115"/>
      <c r="R39" s="2115"/>
      <c r="S39" s="2115"/>
      <c r="T39" s="2115"/>
      <c r="U39" s="2115"/>
      <c r="V39" s="2115"/>
      <c r="W39" s="2115"/>
      <c r="Y39" s="452" t="s">
        <v>808</v>
      </c>
      <c r="Z39" s="2111"/>
    </row>
    <row r="40" spans="1:32" s="758" customFormat="1" ht="6" customHeight="1">
      <c r="C40" s="755"/>
      <c r="D40" s="776"/>
      <c r="E40" s="777"/>
      <c r="F40" s="777"/>
      <c r="G40" s="777"/>
      <c r="H40" s="777"/>
      <c r="I40" s="777"/>
      <c r="J40" s="777"/>
      <c r="K40" s="777"/>
      <c r="L40" s="777"/>
      <c r="M40" s="777"/>
      <c r="N40" s="777"/>
      <c r="O40" s="777"/>
      <c r="P40" s="777"/>
      <c r="Q40" s="777"/>
      <c r="R40" s="777"/>
      <c r="S40" s="777"/>
      <c r="T40" s="777"/>
      <c r="U40" s="777"/>
      <c r="V40" s="777"/>
      <c r="W40" s="777"/>
      <c r="X40" s="39"/>
      <c r="Y40" s="436"/>
      <c r="Z40" s="2111"/>
      <c r="AA40" s="6"/>
      <c r="AF40" s="6"/>
    </row>
    <row r="41" spans="1:32" s="758" customFormat="1" ht="15" customHeight="1">
      <c r="A41" s="753"/>
      <c r="B41" s="753"/>
      <c r="C41" s="132">
        <v>2</v>
      </c>
      <c r="D41" s="1694" t="s">
        <v>1785</v>
      </c>
      <c r="E41" s="1694"/>
      <c r="F41" s="1694"/>
      <c r="G41" s="1694"/>
      <c r="H41" s="1694"/>
      <c r="I41" s="1694"/>
      <c r="J41" s="1694"/>
      <c r="K41" s="1694"/>
      <c r="L41" s="1694"/>
      <c r="M41" s="1694"/>
      <c r="N41" s="1694"/>
      <c r="O41" s="1694"/>
      <c r="P41" s="1694"/>
      <c r="Q41" s="1694"/>
      <c r="R41" s="1694"/>
      <c r="S41" s="1694"/>
      <c r="T41" s="1694"/>
      <c r="U41" s="1694"/>
      <c r="V41" s="1694"/>
      <c r="W41" s="1694"/>
      <c r="Y41" s="436"/>
      <c r="Z41" s="2111"/>
      <c r="AA41" s="6"/>
      <c r="AF41" s="6"/>
    </row>
    <row r="42" spans="1:32" s="758" customFormat="1" ht="6" customHeight="1">
      <c r="C42" s="753"/>
      <c r="D42" s="753"/>
      <c r="E42" s="753"/>
      <c r="F42" s="753"/>
      <c r="G42" s="1550"/>
      <c r="H42" s="753"/>
      <c r="I42" s="753"/>
      <c r="J42" s="753"/>
      <c r="K42" s="753"/>
      <c r="L42" s="753"/>
      <c r="M42" s="753"/>
      <c r="N42" s="753"/>
      <c r="O42" s="753"/>
      <c r="P42" s="753"/>
      <c r="Q42" s="753"/>
      <c r="R42" s="753"/>
      <c r="Y42" s="436"/>
      <c r="Z42" s="2111"/>
      <c r="AA42" s="6"/>
      <c r="AF42" s="6"/>
    </row>
    <row r="43" spans="1:32" ht="26.1" customHeight="1">
      <c r="A43" s="8"/>
      <c r="B43" s="8"/>
      <c r="C43" s="158"/>
      <c r="D43" s="1656" t="s">
        <v>1787</v>
      </c>
      <c r="E43" s="1656"/>
      <c r="F43" s="1656"/>
      <c r="G43" s="1656"/>
      <c r="H43" s="1656"/>
      <c r="I43" s="1656"/>
      <c r="J43" s="1656"/>
      <c r="K43" s="1656"/>
      <c r="L43" s="1656"/>
      <c r="M43" s="1656"/>
      <c r="N43" s="1656"/>
      <c r="O43" s="1656"/>
      <c r="P43" s="1656"/>
      <c r="Q43" s="1656"/>
      <c r="R43" s="1656"/>
      <c r="S43" s="1656"/>
      <c r="T43" s="1656"/>
      <c r="U43" s="1656"/>
      <c r="V43" s="1656"/>
      <c r="W43" s="1656"/>
      <c r="Z43" s="2111"/>
      <c r="AA43" s="27"/>
      <c r="AB43" s="8"/>
      <c r="AC43" s="8"/>
    </row>
    <row r="44" spans="1:32" ht="13.5" thickBot="1">
      <c r="A44" s="8"/>
      <c r="B44" s="8"/>
      <c r="C44" s="24"/>
      <c r="D44" s="4" t="s">
        <v>805</v>
      </c>
      <c r="H44" s="154"/>
      <c r="I44" s="154"/>
      <c r="J44" s="154"/>
      <c r="K44" s="154"/>
      <c r="L44" s="24"/>
      <c r="N44" s="453" t="s">
        <v>295</v>
      </c>
      <c r="Q44" s="154"/>
      <c r="R44" s="154"/>
      <c r="S44" s="154"/>
      <c r="T44" s="154"/>
      <c r="U44" s="24"/>
      <c r="V44" s="8"/>
      <c r="W44" s="24"/>
      <c r="Z44" s="2111"/>
      <c r="AA44" s="27"/>
      <c r="AB44" s="8"/>
      <c r="AC44" s="8"/>
    </row>
    <row r="45" spans="1:32" ht="15" customHeight="1" thickBot="1">
      <c r="A45" s="8"/>
      <c r="B45" s="8"/>
      <c r="C45" s="172"/>
      <c r="D45" s="4" t="s">
        <v>806</v>
      </c>
      <c r="H45" s="1601"/>
      <c r="I45" s="1601"/>
      <c r="J45" s="1601"/>
      <c r="K45" s="1601"/>
      <c r="N45" s="453" t="s">
        <v>807</v>
      </c>
      <c r="Q45" s="1601"/>
      <c r="R45" s="1601"/>
      <c r="S45" s="172"/>
      <c r="T45" s="172"/>
      <c r="U45" s="172"/>
      <c r="V45" s="172"/>
      <c r="W45" s="172"/>
      <c r="Y45" s="425">
        <f>IF(OR(H45=TRUE,Q45=TRUE),20,0)</f>
        <v>0</v>
      </c>
      <c r="Z45" s="2111"/>
      <c r="AA45" s="27"/>
      <c r="AB45" s="26">
        <f>MAX(Y37,Y45)</f>
        <v>0</v>
      </c>
      <c r="AC45" s="8" t="s">
        <v>939</v>
      </c>
    </row>
    <row r="46" spans="1:32" ht="6" customHeight="1" thickTop="1"/>
    <row r="47" spans="1:32" ht="15" customHeight="1">
      <c r="B47" s="85" t="s">
        <v>106</v>
      </c>
      <c r="C47" s="1656" t="s">
        <v>1788</v>
      </c>
      <c r="D47" s="1656"/>
      <c r="E47" s="1656"/>
      <c r="F47" s="1656"/>
      <c r="G47" s="1656"/>
      <c r="H47" s="1656"/>
      <c r="I47" s="1656"/>
      <c r="J47" s="1656"/>
      <c r="K47" s="1656"/>
      <c r="L47" s="1656"/>
      <c r="M47" s="1656"/>
      <c r="N47" s="1656"/>
      <c r="O47" s="1656"/>
      <c r="P47" s="1656"/>
      <c r="Q47" s="1656"/>
      <c r="R47" s="1656"/>
      <c r="S47" s="1656"/>
      <c r="T47" s="1656"/>
      <c r="U47" s="1656"/>
      <c r="V47" s="1656"/>
      <c r="W47" s="1656"/>
      <c r="AB47" s="1227"/>
      <c r="AC47" s="739"/>
      <c r="AD47" s="739"/>
      <c r="AE47" s="108"/>
    </row>
    <row r="48" spans="1:32" ht="12" customHeight="1" thickBot="1">
      <c r="AB48" s="1227"/>
      <c r="AC48" s="739"/>
      <c r="AD48" s="739"/>
      <c r="AE48" s="108"/>
    </row>
    <row r="49" spans="3:31" ht="53.1" customHeight="1" thickBot="1">
      <c r="C49" s="158">
        <v>1</v>
      </c>
      <c r="D49" s="1656" t="s">
        <v>2196</v>
      </c>
      <c r="E49" s="1656"/>
      <c r="F49" s="1656"/>
      <c r="G49" s="1656"/>
      <c r="H49" s="1656"/>
      <c r="I49" s="1656"/>
      <c r="J49" s="1656"/>
      <c r="K49" s="1656"/>
      <c r="L49" s="1656"/>
      <c r="M49" s="1656"/>
      <c r="N49" s="1656"/>
      <c r="O49" s="1656"/>
      <c r="P49" s="1656"/>
      <c r="Q49" s="1656"/>
      <c r="R49" s="1656"/>
      <c r="S49" s="1656"/>
      <c r="T49" s="1656"/>
      <c r="U49" s="1656"/>
      <c r="V49" s="1656"/>
      <c r="W49" s="762"/>
      <c r="Y49" s="425">
        <f>IF(W49=TRUE,25,0)</f>
        <v>0</v>
      </c>
      <c r="AB49" s="1227"/>
      <c r="AC49" s="739"/>
      <c r="AD49" s="739"/>
      <c r="AE49" s="108"/>
    </row>
    <row r="50" spans="3:31" ht="6" customHeight="1" thickTop="1">
      <c r="AB50" s="1227"/>
      <c r="AC50" s="739"/>
      <c r="AD50" s="739"/>
      <c r="AE50" s="108"/>
    </row>
    <row r="51" spans="3:31" ht="15">
      <c r="C51" s="132">
        <v>2</v>
      </c>
      <c r="D51" s="1937" t="s">
        <v>884</v>
      </c>
      <c r="E51" s="1937"/>
      <c r="F51" s="1937"/>
      <c r="G51" s="1937"/>
      <c r="H51" s="1937"/>
      <c r="I51" s="1937"/>
      <c r="J51" s="1937"/>
      <c r="K51" s="1937"/>
      <c r="L51" s="1937"/>
      <c r="M51" s="1937"/>
      <c r="N51" s="1937"/>
      <c r="O51" s="1937"/>
      <c r="P51" s="1937"/>
      <c r="Q51" s="1937"/>
      <c r="R51" s="1937"/>
      <c r="S51" s="1937"/>
      <c r="T51" s="1937"/>
      <c r="U51" s="1937"/>
      <c r="V51" s="1937"/>
      <c r="W51" s="1937"/>
      <c r="AB51" s="1227"/>
      <c r="AC51" s="739"/>
      <c r="AD51" s="739"/>
      <c r="AE51" s="108"/>
    </row>
    <row r="52" spans="3:31" ht="6" customHeight="1">
      <c r="AB52" s="1227"/>
      <c r="AC52" s="739"/>
      <c r="AD52" s="739"/>
      <c r="AE52" s="108"/>
    </row>
    <row r="53" spans="3:31" ht="15.75" thickBot="1">
      <c r="D53" s="458" t="s">
        <v>63</v>
      </c>
      <c r="E53" s="2113" t="s">
        <v>881</v>
      </c>
      <c r="F53" s="2113"/>
      <c r="G53" s="2113"/>
      <c r="H53" s="2113"/>
      <c r="I53" s="2113"/>
      <c r="J53" s="2113"/>
      <c r="K53" s="2113"/>
      <c r="L53" s="2113"/>
      <c r="M53" s="2113"/>
      <c r="N53" s="2113"/>
      <c r="O53" s="2113"/>
      <c r="P53" s="2113"/>
      <c r="Q53" s="2113"/>
      <c r="R53" s="2113"/>
      <c r="S53" s="1675"/>
      <c r="T53" s="1675"/>
      <c r="U53" s="1675"/>
      <c r="V53" s="1675"/>
      <c r="W53" s="1675"/>
      <c r="AB53" s="459" t="str">
        <f>IF(S53="","",(S53))</f>
        <v/>
      </c>
      <c r="AC53" s="8" t="s">
        <v>976</v>
      </c>
      <c r="AD53" s="1"/>
      <c r="AE53" s="108"/>
    </row>
    <row r="54" spans="3:31" ht="6" customHeight="1" thickTop="1">
      <c r="D54" s="761"/>
      <c r="E54" s="761"/>
      <c r="F54" s="761"/>
      <c r="G54" s="1552"/>
      <c r="H54" s="761"/>
      <c r="I54" s="761"/>
      <c r="J54" s="761"/>
      <c r="K54" s="747"/>
      <c r="L54" s="747"/>
      <c r="AB54" s="8"/>
      <c r="AC54" s="8"/>
      <c r="AD54" s="1"/>
      <c r="AE54" s="108"/>
    </row>
    <row r="55" spans="3:31" ht="15.75" thickBot="1">
      <c r="D55" s="458" t="s">
        <v>64</v>
      </c>
      <c r="E55" s="2113" t="s">
        <v>882</v>
      </c>
      <c r="F55" s="2113"/>
      <c r="G55" s="2113"/>
      <c r="H55" s="2113"/>
      <c r="I55" s="2113"/>
      <c r="J55" s="2113"/>
      <c r="K55" s="2113"/>
      <c r="L55" s="2113"/>
      <c r="M55" s="2113"/>
      <c r="N55" s="2113"/>
      <c r="O55" s="2113"/>
      <c r="P55" s="2113"/>
      <c r="Q55" s="2113"/>
      <c r="R55" s="2113"/>
      <c r="S55" s="1675"/>
      <c r="T55" s="1675"/>
      <c r="U55" s="1675"/>
      <c r="V55" s="1675"/>
      <c r="W55" s="1675"/>
      <c r="AB55" s="459" t="str">
        <f>IF(S55="","",(S55))</f>
        <v/>
      </c>
      <c r="AC55" s="8" t="s">
        <v>977</v>
      </c>
      <c r="AD55" s="1"/>
      <c r="AE55" s="108"/>
    </row>
    <row r="56" spans="3:31" ht="6" customHeight="1" thickTop="1">
      <c r="D56" s="758"/>
      <c r="E56" s="758"/>
      <c r="F56" s="758"/>
      <c r="H56" s="758"/>
      <c r="I56" s="758"/>
      <c r="J56" s="758"/>
      <c r="K56" s="758"/>
      <c r="L56" s="758"/>
      <c r="AD56" s="1"/>
      <c r="AE56" s="108"/>
    </row>
    <row r="57" spans="3:31" ht="15.75" thickBot="1">
      <c r="D57" s="458" t="s">
        <v>67</v>
      </c>
      <c r="E57" s="2113" t="s">
        <v>883</v>
      </c>
      <c r="F57" s="2113"/>
      <c r="G57" s="2113"/>
      <c r="H57" s="2113"/>
      <c r="I57" s="2113"/>
      <c r="J57" s="2113"/>
      <c r="K57" s="2113"/>
      <c r="L57" s="2113"/>
      <c r="M57" s="2113"/>
      <c r="N57" s="2113"/>
      <c r="O57" s="2113"/>
      <c r="P57" s="2113"/>
      <c r="Q57" s="2113"/>
      <c r="R57" s="2113"/>
      <c r="S57" s="1675"/>
      <c r="T57" s="1675"/>
      <c r="U57" s="1675"/>
      <c r="V57" s="1675"/>
      <c r="W57" s="1675"/>
      <c r="AB57" s="459" t="str">
        <f>IF(S57="","",(S57))</f>
        <v/>
      </c>
      <c r="AC57" s="4" t="s">
        <v>978</v>
      </c>
      <c r="AD57" s="1"/>
      <c r="AE57" s="108"/>
    </row>
    <row r="58" spans="3:31" ht="6" customHeight="1" thickTop="1">
      <c r="D58" s="758"/>
      <c r="E58" s="758"/>
      <c r="F58" s="758"/>
      <c r="H58" s="758"/>
      <c r="I58" s="758"/>
      <c r="J58" s="758"/>
      <c r="K58" s="758"/>
      <c r="L58" s="758"/>
      <c r="AD58" s="1"/>
      <c r="AE58" s="108"/>
    </row>
    <row r="59" spans="3:31" ht="15.75" thickBot="1">
      <c r="D59" s="458" t="s">
        <v>92</v>
      </c>
      <c r="E59" s="2113" t="s">
        <v>2451</v>
      </c>
      <c r="F59" s="2113"/>
      <c r="G59" s="2113"/>
      <c r="H59" s="2113"/>
      <c r="I59" s="2113"/>
      <c r="J59" s="2113"/>
      <c r="K59" s="2113"/>
      <c r="L59" s="2113"/>
      <c r="M59" s="2113"/>
      <c r="N59" s="2113"/>
      <c r="O59" s="2113"/>
      <c r="P59" s="2113"/>
      <c r="Q59" s="2113"/>
      <c r="R59" s="2113"/>
      <c r="S59" s="1609"/>
      <c r="T59" s="1609"/>
      <c r="U59" s="1609"/>
      <c r="V59" s="1609"/>
      <c r="W59" s="1609"/>
      <c r="AB59" s="459" t="str">
        <f>IF(S59="","",(S59))</f>
        <v/>
      </c>
      <c r="AC59" s="4" t="s">
        <v>979</v>
      </c>
      <c r="AD59" s="1"/>
      <c r="AE59" s="108"/>
    </row>
    <row r="60" spans="3:31" ht="15.75" thickTop="1">
      <c r="AB60" s="1227"/>
      <c r="AC60" s="739"/>
      <c r="AD60" s="739"/>
      <c r="AE60" s="108"/>
    </row>
    <row r="61" spans="3:31" ht="15">
      <c r="AB61" s="1227"/>
      <c r="AC61" s="739"/>
      <c r="AD61" s="739"/>
      <c r="AE61" s="108"/>
    </row>
    <row r="62" spans="3:31" ht="15">
      <c r="AB62" s="1227"/>
      <c r="AC62" s="739"/>
      <c r="AD62" s="739"/>
      <c r="AE62" s="108"/>
    </row>
    <row r="63" spans="3:31" ht="15">
      <c r="AB63" s="1227"/>
      <c r="AC63" s="739"/>
      <c r="AD63" s="739"/>
      <c r="AE63" s="108"/>
    </row>
    <row r="64" spans="3:31" ht="15">
      <c r="AB64" s="1227"/>
      <c r="AC64" s="739"/>
      <c r="AD64" s="739"/>
      <c r="AE64" s="108"/>
    </row>
    <row r="65" spans="28:31" ht="15">
      <c r="AB65" s="1227"/>
      <c r="AC65" s="739"/>
      <c r="AD65" s="739"/>
      <c r="AE65" s="108"/>
    </row>
    <row r="66" spans="28:31" ht="15">
      <c r="AB66" s="1227"/>
      <c r="AC66" s="739"/>
      <c r="AD66" s="739"/>
      <c r="AE66" s="108"/>
    </row>
    <row r="67" spans="28:31" ht="15">
      <c r="AB67" s="1227"/>
      <c r="AC67" s="739"/>
      <c r="AD67" s="739"/>
      <c r="AE67" s="108"/>
    </row>
    <row r="68" spans="28:31" ht="15">
      <c r="AB68" s="1227"/>
      <c r="AC68" s="739"/>
      <c r="AD68" s="739"/>
      <c r="AE68" s="108"/>
    </row>
    <row r="69" spans="28:31" ht="15">
      <c r="AB69" s="1227"/>
      <c r="AC69" s="739"/>
      <c r="AD69" s="739"/>
      <c r="AE69" s="108"/>
    </row>
    <row r="70" spans="28:31" ht="15">
      <c r="AB70" s="1227"/>
      <c r="AC70" s="739"/>
      <c r="AD70" s="739"/>
      <c r="AE70" s="108"/>
    </row>
    <row r="71" spans="28:31" ht="15">
      <c r="AB71" s="1227"/>
      <c r="AC71" s="739"/>
      <c r="AD71" s="739"/>
      <c r="AE71" s="108"/>
    </row>
    <row r="72" spans="28:31" ht="15">
      <c r="AB72" s="1227"/>
      <c r="AC72" s="739"/>
      <c r="AD72" s="739"/>
      <c r="AE72" s="108"/>
    </row>
    <row r="73" spans="28:31" ht="15">
      <c r="AB73" s="1227"/>
      <c r="AC73" s="739"/>
      <c r="AD73" s="739"/>
      <c r="AE73" s="108"/>
    </row>
    <row r="74" spans="28:31" ht="15">
      <c r="AB74" s="1227"/>
      <c r="AC74" s="739"/>
      <c r="AD74" s="739"/>
      <c r="AE74" s="108"/>
    </row>
    <row r="75" spans="28:31" ht="15">
      <c r="AB75" s="1227"/>
      <c r="AC75" s="739"/>
      <c r="AD75" s="739"/>
      <c r="AE75" s="108"/>
    </row>
    <row r="76" spans="28:31" ht="15">
      <c r="AB76" s="1227"/>
      <c r="AC76" s="739"/>
      <c r="AD76" s="739"/>
      <c r="AE76" s="108"/>
    </row>
    <row r="77" spans="28:31" ht="15">
      <c r="AB77" s="1227"/>
      <c r="AC77" s="739"/>
      <c r="AD77" s="739"/>
      <c r="AE77" s="108"/>
    </row>
    <row r="78" spans="28:31" ht="15">
      <c r="AB78" s="1227"/>
      <c r="AC78" s="739"/>
      <c r="AD78" s="739"/>
      <c r="AE78" s="108"/>
    </row>
    <row r="79" spans="28:31" ht="15">
      <c r="AB79" s="1227"/>
      <c r="AC79" s="739"/>
      <c r="AD79" s="739"/>
      <c r="AE79" s="108"/>
    </row>
    <row r="80" spans="28:31" ht="15">
      <c r="AB80" s="1227"/>
      <c r="AC80" s="739"/>
      <c r="AD80" s="739"/>
      <c r="AE80" s="108"/>
    </row>
    <row r="81" spans="28:31" ht="15">
      <c r="AB81" s="1227"/>
      <c r="AC81" s="739"/>
      <c r="AD81" s="739"/>
      <c r="AE81" s="108"/>
    </row>
    <row r="82" spans="28:31" ht="15">
      <c r="AB82" s="1227"/>
      <c r="AC82" s="739"/>
      <c r="AD82" s="739"/>
      <c r="AE82" s="108"/>
    </row>
    <row r="83" spans="28:31" ht="15">
      <c r="AB83" s="1227"/>
      <c r="AC83" s="739"/>
      <c r="AD83" s="739"/>
      <c r="AE83" s="108"/>
    </row>
    <row r="84" spans="28:31" ht="15">
      <c r="AB84" s="1227"/>
      <c r="AC84" s="739"/>
      <c r="AD84" s="739"/>
      <c r="AE84" s="108"/>
    </row>
    <row r="85" spans="28:31" ht="15">
      <c r="AB85" s="1227"/>
      <c r="AC85" s="739"/>
      <c r="AD85" s="739"/>
      <c r="AE85" s="108"/>
    </row>
    <row r="86" spans="28:31" ht="15">
      <c r="AB86" s="1227"/>
      <c r="AC86" s="739"/>
      <c r="AD86" s="739"/>
      <c r="AE86" s="108"/>
    </row>
    <row r="87" spans="28:31" ht="15">
      <c r="AB87" s="1227"/>
      <c r="AC87" s="739"/>
      <c r="AD87" s="739"/>
      <c r="AE87" s="108"/>
    </row>
    <row r="88" spans="28:31" ht="15">
      <c r="AB88" s="1227"/>
      <c r="AC88" s="739"/>
      <c r="AD88" s="739"/>
      <c r="AE88" s="108"/>
    </row>
    <row r="89" spans="28:31" ht="15">
      <c r="AB89" s="1227"/>
      <c r="AC89" s="739"/>
      <c r="AD89" s="739"/>
      <c r="AE89" s="108"/>
    </row>
    <row r="90" spans="28:31" ht="15">
      <c r="AB90" s="1227"/>
      <c r="AC90" s="739"/>
      <c r="AD90" s="739"/>
      <c r="AE90" s="108"/>
    </row>
    <row r="91" spans="28:31" ht="15">
      <c r="AB91" s="1227"/>
      <c r="AC91" s="739"/>
      <c r="AD91" s="739"/>
      <c r="AE91" s="108"/>
    </row>
    <row r="92" spans="28:31" ht="15">
      <c r="AB92" s="1227"/>
      <c r="AC92" s="739"/>
      <c r="AD92" s="739"/>
      <c r="AE92" s="108"/>
    </row>
    <row r="93" spans="28:31" ht="15">
      <c r="AB93" s="1227"/>
      <c r="AC93" s="739"/>
      <c r="AD93" s="739"/>
      <c r="AE93" s="108"/>
    </row>
    <row r="94" spans="28:31" ht="15">
      <c r="AB94" s="1227"/>
      <c r="AC94" s="739"/>
      <c r="AD94" s="739"/>
      <c r="AE94" s="108"/>
    </row>
    <row r="95" spans="28:31" ht="15">
      <c r="AB95" s="1227"/>
      <c r="AC95" s="739"/>
      <c r="AD95" s="739"/>
      <c r="AE95" s="108"/>
    </row>
    <row r="96" spans="28:31" ht="15">
      <c r="AB96" s="1227"/>
      <c r="AC96" s="739"/>
      <c r="AD96" s="739"/>
      <c r="AE96" s="108"/>
    </row>
    <row r="97" spans="28:31" ht="15">
      <c r="AB97" s="1227"/>
      <c r="AC97" s="739"/>
      <c r="AD97" s="739"/>
      <c r="AE97" s="108"/>
    </row>
    <row r="98" spans="28:31" ht="15">
      <c r="AB98" s="1227"/>
      <c r="AC98" s="739"/>
      <c r="AD98" s="739"/>
      <c r="AE98" s="108"/>
    </row>
    <row r="99" spans="28:31" ht="15">
      <c r="AB99" s="1227"/>
      <c r="AC99" s="739"/>
      <c r="AD99" s="739"/>
      <c r="AE99" s="108"/>
    </row>
    <row r="100" spans="28:31" ht="15">
      <c r="AB100" s="1227"/>
      <c r="AC100" s="739"/>
      <c r="AD100" s="739"/>
      <c r="AE100" s="108"/>
    </row>
    <row r="101" spans="28:31" ht="15">
      <c r="AB101" s="1227"/>
      <c r="AC101" s="739"/>
      <c r="AD101" s="739"/>
      <c r="AE101" s="108"/>
    </row>
    <row r="102" spans="28:31" ht="15">
      <c r="AB102" s="1227"/>
      <c r="AC102" s="739"/>
      <c r="AD102" s="739"/>
      <c r="AE102" s="108"/>
    </row>
    <row r="103" spans="28:31" ht="15">
      <c r="AB103" s="1227"/>
      <c r="AC103" s="739"/>
      <c r="AD103" s="739"/>
      <c r="AE103" s="108"/>
    </row>
    <row r="104" spans="28:31" ht="15">
      <c r="AB104" s="1227"/>
      <c r="AC104" s="739"/>
      <c r="AD104" s="739"/>
      <c r="AE104" s="108"/>
    </row>
    <row r="105" spans="28:31" ht="15">
      <c r="AB105" s="1227"/>
      <c r="AC105" s="739"/>
      <c r="AD105" s="739"/>
      <c r="AE105" s="108"/>
    </row>
    <row r="106" spans="28:31" ht="15">
      <c r="AB106" s="1227"/>
      <c r="AC106" s="739"/>
      <c r="AD106" s="739"/>
      <c r="AE106" s="108"/>
    </row>
    <row r="107" spans="28:31" ht="15">
      <c r="AB107" s="1227"/>
      <c r="AC107" s="739"/>
      <c r="AD107" s="739"/>
      <c r="AE107" s="108"/>
    </row>
    <row r="108" spans="28:31" ht="15">
      <c r="AB108" s="1227"/>
      <c r="AC108" s="739"/>
      <c r="AD108" s="739"/>
      <c r="AE108" s="108"/>
    </row>
    <row r="109" spans="28:31" ht="15">
      <c r="AB109" s="1227"/>
      <c r="AC109" s="739"/>
      <c r="AD109" s="739"/>
      <c r="AE109" s="108"/>
    </row>
    <row r="110" spans="28:31" ht="15">
      <c r="AB110" s="1227"/>
      <c r="AC110" s="739"/>
      <c r="AD110" s="739"/>
      <c r="AE110" s="108"/>
    </row>
    <row r="111" spans="28:31" ht="15">
      <c r="AB111" s="1227"/>
      <c r="AC111" s="739"/>
      <c r="AD111" s="739"/>
      <c r="AE111" s="108"/>
    </row>
    <row r="112" spans="28:31" ht="15">
      <c r="AB112" s="1227"/>
      <c r="AC112" s="739"/>
      <c r="AD112" s="739"/>
      <c r="AE112" s="108"/>
    </row>
    <row r="113" spans="28:31" ht="15">
      <c r="AB113" s="1227"/>
      <c r="AC113" s="739"/>
      <c r="AD113" s="739"/>
      <c r="AE113" s="108"/>
    </row>
    <row r="114" spans="28:31" ht="15">
      <c r="AB114" s="1227"/>
      <c r="AC114" s="739"/>
      <c r="AD114" s="739"/>
      <c r="AE114" s="108"/>
    </row>
    <row r="115" spans="28:31" ht="15">
      <c r="AB115" s="1227"/>
      <c r="AC115" s="739"/>
      <c r="AD115" s="739"/>
      <c r="AE115" s="108"/>
    </row>
    <row r="116" spans="28:31" ht="15">
      <c r="AB116" s="1227"/>
      <c r="AC116" s="739"/>
      <c r="AD116" s="739"/>
      <c r="AE116" s="108"/>
    </row>
    <row r="117" spans="28:31" ht="15">
      <c r="AB117" s="1227"/>
      <c r="AC117" s="739"/>
      <c r="AD117" s="739"/>
      <c r="AE117" s="108"/>
    </row>
    <row r="118" spans="28:31" ht="15">
      <c r="AB118" s="1227"/>
      <c r="AC118" s="739"/>
      <c r="AD118" s="739"/>
      <c r="AE118" s="108"/>
    </row>
    <row r="119" spans="28:31" ht="15">
      <c r="AB119" s="1227"/>
      <c r="AC119" s="739"/>
      <c r="AD119" s="739"/>
      <c r="AE119" s="108"/>
    </row>
    <row r="120" spans="28:31" ht="15">
      <c r="AB120" s="1227"/>
      <c r="AC120" s="739"/>
      <c r="AD120" s="739"/>
      <c r="AE120" s="108"/>
    </row>
    <row r="121" spans="28:31" ht="15">
      <c r="AB121" s="1227"/>
      <c r="AC121" s="739"/>
      <c r="AD121" s="739"/>
      <c r="AE121" s="108"/>
    </row>
    <row r="122" spans="28:31" ht="15">
      <c r="AB122" s="1227"/>
      <c r="AC122" s="739"/>
      <c r="AD122" s="739"/>
      <c r="AE122" s="108"/>
    </row>
    <row r="123" spans="28:31" ht="15">
      <c r="AB123" s="1227"/>
      <c r="AC123" s="739"/>
      <c r="AD123" s="739"/>
      <c r="AE123" s="108"/>
    </row>
    <row r="124" spans="28:31" ht="15">
      <c r="AB124" s="1227"/>
      <c r="AC124" s="739"/>
      <c r="AD124" s="739"/>
      <c r="AE124" s="108"/>
    </row>
    <row r="125" spans="28:31" ht="15">
      <c r="AB125" s="1227"/>
      <c r="AC125" s="739"/>
      <c r="AD125" s="739"/>
      <c r="AE125" s="108"/>
    </row>
    <row r="126" spans="28:31" ht="15">
      <c r="AB126" s="1227"/>
      <c r="AC126" s="739"/>
      <c r="AD126" s="739"/>
      <c r="AE126" s="108"/>
    </row>
    <row r="127" spans="28:31" ht="15">
      <c r="AB127" s="1227"/>
      <c r="AC127" s="739"/>
      <c r="AD127" s="739"/>
      <c r="AE127" s="108"/>
    </row>
    <row r="128" spans="28:31" ht="15">
      <c r="AB128" s="1227"/>
      <c r="AC128" s="739"/>
      <c r="AD128" s="739"/>
      <c r="AE128" s="108"/>
    </row>
    <row r="129" spans="28:31" ht="15">
      <c r="AB129" s="1227"/>
      <c r="AC129" s="739"/>
      <c r="AD129" s="739"/>
      <c r="AE129" s="108"/>
    </row>
    <row r="130" spans="28:31" ht="15">
      <c r="AB130" s="1227"/>
      <c r="AC130" s="739"/>
      <c r="AD130" s="739"/>
      <c r="AE130" s="108"/>
    </row>
    <row r="131" spans="28:31" ht="15">
      <c r="AB131" s="1227"/>
      <c r="AC131" s="739"/>
      <c r="AD131" s="739"/>
      <c r="AE131" s="108"/>
    </row>
    <row r="132" spans="28:31" ht="15">
      <c r="AB132" s="1227"/>
      <c r="AC132" s="739"/>
      <c r="AD132" s="739"/>
      <c r="AE132" s="108"/>
    </row>
    <row r="133" spans="28:31" ht="15">
      <c r="AB133" s="1227"/>
      <c r="AC133" s="739"/>
      <c r="AD133" s="739"/>
      <c r="AE133" s="108"/>
    </row>
    <row r="134" spans="28:31" ht="15">
      <c r="AB134" s="1227"/>
      <c r="AC134" s="739"/>
      <c r="AD134" s="739"/>
      <c r="AE134" s="108"/>
    </row>
    <row r="135" spans="28:31" ht="15">
      <c r="AB135" s="1227"/>
      <c r="AC135" s="739"/>
      <c r="AD135" s="739"/>
      <c r="AE135" s="108"/>
    </row>
    <row r="136" spans="28:31" ht="15">
      <c r="AB136" s="1227"/>
      <c r="AC136" s="739"/>
      <c r="AD136" s="739"/>
      <c r="AE136" s="108"/>
    </row>
    <row r="137" spans="28:31" ht="15">
      <c r="AB137" s="1227"/>
      <c r="AC137" s="739"/>
      <c r="AD137" s="739"/>
      <c r="AE137" s="108"/>
    </row>
    <row r="138" spans="28:31" ht="15">
      <c r="AB138" s="1227"/>
      <c r="AC138" s="739"/>
      <c r="AD138" s="739"/>
      <c r="AE138" s="108"/>
    </row>
    <row r="139" spans="28:31" ht="15">
      <c r="AB139" s="1227"/>
      <c r="AC139" s="739"/>
      <c r="AD139" s="739"/>
      <c r="AE139" s="108"/>
    </row>
    <row r="140" spans="28:31" ht="15">
      <c r="AB140" s="1227"/>
      <c r="AC140" s="739"/>
      <c r="AD140" s="739"/>
      <c r="AE140" s="108"/>
    </row>
    <row r="141" spans="28:31" ht="15">
      <c r="AB141" s="1227"/>
      <c r="AC141" s="739"/>
      <c r="AD141" s="739"/>
      <c r="AE141" s="108"/>
    </row>
    <row r="142" spans="28:31" ht="15">
      <c r="AB142" s="1227"/>
      <c r="AC142" s="739"/>
      <c r="AD142" s="739"/>
      <c r="AE142" s="108"/>
    </row>
    <row r="143" spans="28:31" ht="15">
      <c r="AB143" s="1227"/>
      <c r="AC143" s="739"/>
      <c r="AD143" s="739"/>
      <c r="AE143" s="108"/>
    </row>
    <row r="144" spans="28:31" ht="15">
      <c r="AB144" s="1227"/>
      <c r="AC144" s="739"/>
      <c r="AD144" s="739"/>
      <c r="AE144" s="108"/>
    </row>
    <row r="145" spans="28:31" ht="15">
      <c r="AB145" s="1227"/>
      <c r="AC145" s="739"/>
      <c r="AD145" s="739"/>
      <c r="AE145" s="108"/>
    </row>
    <row r="146" spans="28:31" ht="15">
      <c r="AB146" s="1227"/>
      <c r="AC146" s="739"/>
      <c r="AD146" s="739"/>
      <c r="AE146" s="108"/>
    </row>
    <row r="147" spans="28:31" ht="15">
      <c r="AB147" s="1227"/>
      <c r="AC147" s="739"/>
      <c r="AD147" s="739"/>
      <c r="AE147" s="108"/>
    </row>
    <row r="148" spans="28:31" ht="15">
      <c r="AB148" s="1227"/>
      <c r="AC148" s="739"/>
      <c r="AD148" s="739"/>
      <c r="AE148" s="108"/>
    </row>
    <row r="149" spans="28:31" ht="15">
      <c r="AB149" s="1227"/>
      <c r="AC149" s="739"/>
      <c r="AD149" s="739"/>
      <c r="AE149" s="108"/>
    </row>
    <row r="150" spans="28:31" ht="15">
      <c r="AB150" s="1227"/>
      <c r="AC150" s="739"/>
      <c r="AD150" s="739"/>
      <c r="AE150" s="108"/>
    </row>
    <row r="151" spans="28:31" ht="15">
      <c r="AB151" s="1227"/>
      <c r="AC151" s="739"/>
      <c r="AD151" s="739"/>
      <c r="AE151" s="108"/>
    </row>
    <row r="152" spans="28:31" ht="15">
      <c r="AB152" s="1227"/>
      <c r="AC152" s="739"/>
      <c r="AD152" s="739"/>
      <c r="AE152" s="108"/>
    </row>
    <row r="153" spans="28:31" ht="15">
      <c r="AB153" s="1227"/>
      <c r="AC153" s="739"/>
      <c r="AD153" s="739"/>
      <c r="AE153" s="108"/>
    </row>
    <row r="154" spans="28:31" ht="15">
      <c r="AB154" s="1227"/>
      <c r="AC154" s="739"/>
      <c r="AD154" s="739"/>
      <c r="AE154" s="108"/>
    </row>
    <row r="155" spans="28:31" ht="15">
      <c r="AB155" s="1227"/>
      <c r="AC155" s="739"/>
      <c r="AD155" s="739"/>
      <c r="AE155" s="108"/>
    </row>
    <row r="156" spans="28:31" ht="15">
      <c r="AB156" s="1227"/>
      <c r="AC156" s="739"/>
      <c r="AD156" s="739"/>
      <c r="AE156" s="108"/>
    </row>
    <row r="157" spans="28:31" ht="15">
      <c r="AB157" s="1227"/>
      <c r="AC157" s="739"/>
      <c r="AD157" s="739"/>
      <c r="AE157" s="108"/>
    </row>
    <row r="158" spans="28:31" ht="15">
      <c r="AB158" s="1227"/>
      <c r="AC158" s="739"/>
      <c r="AD158" s="739"/>
      <c r="AE158" s="108"/>
    </row>
    <row r="159" spans="28:31" ht="15">
      <c r="AB159" s="1227"/>
      <c r="AC159" s="739"/>
      <c r="AD159" s="739"/>
      <c r="AE159" s="108"/>
    </row>
    <row r="160" spans="28:31" ht="15">
      <c r="AB160" s="1227"/>
      <c r="AC160" s="739"/>
      <c r="AD160" s="739"/>
      <c r="AE160" s="108"/>
    </row>
    <row r="161" spans="28:31" ht="15">
      <c r="AB161" s="1227"/>
      <c r="AC161" s="739"/>
      <c r="AD161" s="739"/>
      <c r="AE161" s="108"/>
    </row>
    <row r="162" spans="28:31" ht="15">
      <c r="AB162" s="1227"/>
      <c r="AC162" s="739"/>
      <c r="AD162" s="739"/>
      <c r="AE162" s="108"/>
    </row>
    <row r="163" spans="28:31" ht="15">
      <c r="AB163" s="1227"/>
      <c r="AC163" s="739"/>
      <c r="AD163" s="739"/>
      <c r="AE163" s="108"/>
    </row>
    <row r="164" spans="28:31" ht="15">
      <c r="AB164" s="1227"/>
      <c r="AC164" s="739"/>
      <c r="AD164" s="739"/>
      <c r="AE164" s="108"/>
    </row>
    <row r="165" spans="28:31" ht="15">
      <c r="AB165" s="1227"/>
      <c r="AC165" s="739"/>
      <c r="AD165" s="739"/>
      <c r="AE165" s="108"/>
    </row>
    <row r="166" spans="28:31" ht="15">
      <c r="AB166" s="1227"/>
      <c r="AC166" s="739"/>
      <c r="AD166" s="739"/>
      <c r="AE166" s="108"/>
    </row>
    <row r="167" spans="28:31" ht="15">
      <c r="AB167" s="1227"/>
      <c r="AC167" s="739"/>
      <c r="AD167" s="739"/>
      <c r="AE167" s="108"/>
    </row>
    <row r="168" spans="28:31" ht="15">
      <c r="AB168" s="1227"/>
      <c r="AC168" s="739"/>
      <c r="AD168" s="739"/>
      <c r="AE168" s="108"/>
    </row>
    <row r="169" spans="28:31" ht="15">
      <c r="AB169" s="1227"/>
      <c r="AC169" s="739"/>
      <c r="AD169" s="739"/>
      <c r="AE169" s="108"/>
    </row>
    <row r="170" spans="28:31" ht="15">
      <c r="AB170" s="1227"/>
      <c r="AC170" s="739"/>
      <c r="AD170" s="739"/>
      <c r="AE170" s="108"/>
    </row>
    <row r="171" spans="28:31" ht="15">
      <c r="AB171" s="1227"/>
      <c r="AC171" s="739"/>
      <c r="AD171" s="739"/>
      <c r="AE171" s="108"/>
    </row>
    <row r="172" spans="28:31" ht="15">
      <c r="AB172" s="1227"/>
      <c r="AC172" s="739"/>
      <c r="AD172" s="739"/>
      <c r="AE172" s="108"/>
    </row>
    <row r="173" spans="28:31" ht="15">
      <c r="AB173" s="1227"/>
      <c r="AC173" s="739"/>
      <c r="AD173" s="739"/>
      <c r="AE173" s="108"/>
    </row>
    <row r="174" spans="28:31" ht="15">
      <c r="AB174" s="1227"/>
      <c r="AC174" s="739"/>
      <c r="AD174" s="739"/>
      <c r="AE174" s="108"/>
    </row>
    <row r="175" spans="28:31" ht="15">
      <c r="AB175" s="1227"/>
      <c r="AC175" s="739"/>
      <c r="AD175" s="739"/>
      <c r="AE175" s="108"/>
    </row>
    <row r="176" spans="28:31" ht="15">
      <c r="AB176" s="1227"/>
      <c r="AC176" s="739"/>
      <c r="AD176" s="739"/>
      <c r="AE176" s="108"/>
    </row>
    <row r="177" spans="28:31" ht="15">
      <c r="AB177" s="1227"/>
      <c r="AC177" s="739"/>
      <c r="AD177" s="739"/>
      <c r="AE177" s="108"/>
    </row>
    <row r="178" spans="28:31" ht="15">
      <c r="AB178" s="1227"/>
      <c r="AC178" s="739"/>
      <c r="AD178" s="739"/>
      <c r="AE178" s="108"/>
    </row>
    <row r="179" spans="28:31" ht="15">
      <c r="AB179" s="1227"/>
      <c r="AC179" s="739"/>
      <c r="AD179" s="739"/>
      <c r="AE179" s="108"/>
    </row>
    <row r="180" spans="28:31" ht="15">
      <c r="AB180" s="1227"/>
      <c r="AC180" s="739"/>
      <c r="AD180" s="739"/>
      <c r="AE180" s="108"/>
    </row>
    <row r="181" spans="28:31" ht="15">
      <c r="AB181" s="1227"/>
      <c r="AC181" s="739"/>
      <c r="AD181" s="739"/>
      <c r="AE181" s="108"/>
    </row>
    <row r="182" spans="28:31" ht="15">
      <c r="AB182" s="1227"/>
      <c r="AC182" s="739"/>
      <c r="AD182" s="739"/>
      <c r="AE182" s="108"/>
    </row>
    <row r="183" spans="28:31" ht="15">
      <c r="AB183" s="1227"/>
      <c r="AC183" s="739"/>
      <c r="AD183" s="739"/>
      <c r="AE183" s="108"/>
    </row>
    <row r="184" spans="28:31" ht="15">
      <c r="AB184" s="1227"/>
      <c r="AC184" s="739"/>
      <c r="AD184" s="739"/>
      <c r="AE184" s="108"/>
    </row>
    <row r="185" spans="28:31" ht="15">
      <c r="AB185" s="1227"/>
      <c r="AC185" s="739"/>
      <c r="AD185" s="739"/>
      <c r="AE185" s="108"/>
    </row>
    <row r="186" spans="28:31" ht="15">
      <c r="AB186" s="1227"/>
      <c r="AC186" s="739"/>
      <c r="AD186" s="739"/>
      <c r="AE186" s="108"/>
    </row>
    <row r="187" spans="28:31" ht="15">
      <c r="AB187" s="1227"/>
      <c r="AC187" s="739"/>
      <c r="AD187" s="739"/>
      <c r="AE187" s="108"/>
    </row>
    <row r="188" spans="28:31" ht="15">
      <c r="AB188" s="1227"/>
      <c r="AC188" s="739"/>
      <c r="AD188" s="739"/>
      <c r="AE188" s="108"/>
    </row>
    <row r="189" spans="28:31" ht="15">
      <c r="AB189" s="1227"/>
      <c r="AC189" s="739"/>
      <c r="AD189" s="739"/>
      <c r="AE189" s="108"/>
    </row>
    <row r="190" spans="28:31" ht="15">
      <c r="AB190" s="1227"/>
      <c r="AC190" s="739"/>
      <c r="AD190" s="739"/>
      <c r="AE190" s="108"/>
    </row>
    <row r="191" spans="28:31" ht="15">
      <c r="AB191" s="1227"/>
      <c r="AC191" s="739"/>
      <c r="AD191" s="739"/>
      <c r="AE191" s="108"/>
    </row>
    <row r="192" spans="28:31" ht="15">
      <c r="AB192" s="1227"/>
      <c r="AC192" s="739"/>
      <c r="AD192" s="739"/>
      <c r="AE192" s="108"/>
    </row>
    <row r="193" spans="28:31" ht="15">
      <c r="AB193" s="1227"/>
      <c r="AC193" s="739"/>
      <c r="AD193" s="739"/>
      <c r="AE193" s="108"/>
    </row>
    <row r="194" spans="28:31" ht="15">
      <c r="AB194" s="1227"/>
      <c r="AC194" s="739"/>
      <c r="AD194" s="739"/>
      <c r="AE194" s="108"/>
    </row>
    <row r="195" spans="28:31" ht="15">
      <c r="AB195" s="1227"/>
      <c r="AC195" s="739"/>
      <c r="AD195" s="739"/>
      <c r="AE195" s="108"/>
    </row>
    <row r="196" spans="28:31" ht="15">
      <c r="AB196" s="1227"/>
      <c r="AC196" s="739"/>
      <c r="AD196" s="739"/>
      <c r="AE196" s="108"/>
    </row>
    <row r="197" spans="28:31" ht="15">
      <c r="AB197" s="1227"/>
      <c r="AC197" s="739"/>
      <c r="AD197" s="739"/>
      <c r="AE197" s="108"/>
    </row>
    <row r="198" spans="28:31" ht="15">
      <c r="AB198" s="1227"/>
      <c r="AC198" s="739"/>
      <c r="AD198" s="739"/>
      <c r="AE198" s="108"/>
    </row>
    <row r="199" spans="28:31" ht="15">
      <c r="AB199" s="1227"/>
      <c r="AC199" s="739"/>
      <c r="AD199" s="739"/>
      <c r="AE199" s="108"/>
    </row>
    <row r="200" spans="28:31" ht="15">
      <c r="AB200" s="1227"/>
      <c r="AC200" s="739"/>
      <c r="AD200" s="739"/>
      <c r="AE200" s="108"/>
    </row>
    <row r="201" spans="28:31" ht="15">
      <c r="AB201" s="1227"/>
      <c r="AC201" s="739"/>
      <c r="AD201" s="739"/>
      <c r="AE201" s="108"/>
    </row>
    <row r="202" spans="28:31" ht="15">
      <c r="AB202" s="1227"/>
      <c r="AC202" s="739"/>
      <c r="AD202" s="739"/>
      <c r="AE202" s="108"/>
    </row>
    <row r="203" spans="28:31" ht="15">
      <c r="AB203" s="1227"/>
      <c r="AC203" s="739"/>
      <c r="AD203" s="739"/>
      <c r="AE203" s="108"/>
    </row>
    <row r="204" spans="28:31" ht="15">
      <c r="AB204" s="1227"/>
      <c r="AC204" s="739"/>
      <c r="AD204" s="739"/>
      <c r="AE204" s="108"/>
    </row>
    <row r="205" spans="28:31" ht="15">
      <c r="AB205" s="1227"/>
      <c r="AC205" s="739"/>
      <c r="AD205" s="739"/>
      <c r="AE205" s="108"/>
    </row>
    <row r="206" spans="28:31" ht="15">
      <c r="AB206" s="1227"/>
      <c r="AC206" s="739"/>
      <c r="AD206" s="739"/>
      <c r="AE206" s="108"/>
    </row>
    <row r="207" spans="28:31" ht="15">
      <c r="AB207" s="1227"/>
      <c r="AC207" s="739"/>
      <c r="AD207" s="739"/>
      <c r="AE207" s="108"/>
    </row>
    <row r="208" spans="28:31" ht="15">
      <c r="AB208" s="1227"/>
      <c r="AC208" s="739"/>
      <c r="AD208" s="739"/>
      <c r="AE208" s="108"/>
    </row>
    <row r="209" spans="28:31" ht="15">
      <c r="AB209" s="1227"/>
      <c r="AC209" s="739"/>
      <c r="AD209" s="739"/>
      <c r="AE209" s="108"/>
    </row>
    <row r="210" spans="28:31" ht="15">
      <c r="AB210" s="1227"/>
      <c r="AC210" s="739"/>
      <c r="AD210" s="739"/>
      <c r="AE210" s="108"/>
    </row>
    <row r="211" spans="28:31" ht="15">
      <c r="AB211" s="1227"/>
      <c r="AC211" s="739"/>
      <c r="AD211" s="739"/>
      <c r="AE211" s="108"/>
    </row>
    <row r="212" spans="28:31" ht="15">
      <c r="AB212" s="1227"/>
      <c r="AC212" s="739"/>
      <c r="AD212" s="739"/>
      <c r="AE212" s="108"/>
    </row>
    <row r="213" spans="28:31" ht="15">
      <c r="AB213" s="1227"/>
      <c r="AC213" s="739"/>
      <c r="AD213" s="739"/>
      <c r="AE213" s="108"/>
    </row>
    <row r="214" spans="28:31" ht="15">
      <c r="AB214" s="1227"/>
      <c r="AC214" s="739"/>
      <c r="AD214" s="739"/>
      <c r="AE214" s="108"/>
    </row>
    <row r="215" spans="28:31" ht="15">
      <c r="AB215" s="1227"/>
      <c r="AC215" s="739"/>
      <c r="AD215" s="739"/>
      <c r="AE215" s="108"/>
    </row>
    <row r="216" spans="28:31" ht="15">
      <c r="AB216" s="1227"/>
      <c r="AC216" s="739"/>
      <c r="AD216" s="739"/>
      <c r="AE216" s="108"/>
    </row>
    <row r="217" spans="28:31" ht="15">
      <c r="AB217" s="1227"/>
      <c r="AC217" s="739"/>
      <c r="AD217" s="739"/>
      <c r="AE217" s="108"/>
    </row>
    <row r="218" spans="28:31" ht="15">
      <c r="AB218" s="1227"/>
      <c r="AC218" s="739"/>
      <c r="AD218" s="739"/>
      <c r="AE218" s="108"/>
    </row>
    <row r="219" spans="28:31" ht="15">
      <c r="AB219" s="1227"/>
      <c r="AC219" s="739"/>
      <c r="AD219" s="739"/>
      <c r="AE219" s="108"/>
    </row>
    <row r="220" spans="28:31" ht="15">
      <c r="AB220" s="1227"/>
      <c r="AC220" s="739"/>
      <c r="AD220" s="739"/>
      <c r="AE220" s="108"/>
    </row>
    <row r="221" spans="28:31" ht="15">
      <c r="AB221" s="1227"/>
      <c r="AC221" s="739"/>
      <c r="AD221" s="739"/>
      <c r="AE221" s="108"/>
    </row>
    <row r="222" spans="28:31" ht="15">
      <c r="AB222" s="1227"/>
      <c r="AC222" s="739"/>
      <c r="AD222" s="739"/>
      <c r="AE222" s="108"/>
    </row>
    <row r="223" spans="28:31" ht="15">
      <c r="AB223" s="1227"/>
      <c r="AC223" s="739"/>
      <c r="AD223" s="739"/>
      <c r="AE223" s="108"/>
    </row>
    <row r="224" spans="28:31" ht="15">
      <c r="AB224" s="1227"/>
      <c r="AC224" s="739"/>
      <c r="AD224" s="739"/>
      <c r="AE224" s="108"/>
    </row>
    <row r="225" spans="28:31" ht="15">
      <c r="AB225" s="1227"/>
      <c r="AC225" s="739"/>
      <c r="AD225" s="739"/>
      <c r="AE225" s="108"/>
    </row>
    <row r="226" spans="28:31" ht="15">
      <c r="AB226" s="1227"/>
      <c r="AC226" s="739"/>
      <c r="AD226" s="739"/>
      <c r="AE226" s="108"/>
    </row>
    <row r="227" spans="28:31" ht="15">
      <c r="AB227" s="1227"/>
      <c r="AC227" s="739"/>
      <c r="AD227" s="739"/>
      <c r="AE227" s="108"/>
    </row>
    <row r="228" spans="28:31" ht="15">
      <c r="AB228" s="1227"/>
      <c r="AC228" s="739"/>
      <c r="AD228" s="739"/>
      <c r="AE228" s="108"/>
    </row>
    <row r="229" spans="28:31" ht="15">
      <c r="AB229" s="1227"/>
      <c r="AC229" s="739"/>
      <c r="AD229" s="739"/>
      <c r="AE229" s="108"/>
    </row>
    <row r="230" spans="28:31" ht="15">
      <c r="AB230" s="1227"/>
      <c r="AC230" s="739"/>
      <c r="AD230" s="739"/>
      <c r="AE230" s="108"/>
    </row>
    <row r="231" spans="28:31" ht="15">
      <c r="AB231" s="1227"/>
      <c r="AC231" s="739"/>
      <c r="AD231" s="739"/>
      <c r="AE231" s="108"/>
    </row>
    <row r="232" spans="28:31" ht="15">
      <c r="AB232" s="1227"/>
      <c r="AC232" s="739"/>
      <c r="AD232" s="739"/>
      <c r="AE232" s="108"/>
    </row>
    <row r="233" spans="28:31" ht="15">
      <c r="AB233" s="1227"/>
      <c r="AC233" s="739"/>
      <c r="AD233" s="739"/>
      <c r="AE233" s="108"/>
    </row>
    <row r="234" spans="28:31" ht="15">
      <c r="AB234" s="1227"/>
      <c r="AC234" s="739"/>
      <c r="AD234" s="739"/>
      <c r="AE234" s="108"/>
    </row>
    <row r="235" spans="28:31" ht="15">
      <c r="AB235" s="1227"/>
      <c r="AC235" s="739"/>
      <c r="AD235" s="739"/>
      <c r="AE235" s="108"/>
    </row>
    <row r="236" spans="28:31" ht="15">
      <c r="AB236" s="1227"/>
      <c r="AC236" s="739"/>
      <c r="AD236" s="739"/>
      <c r="AE236" s="108"/>
    </row>
    <row r="237" spans="28:31" ht="15">
      <c r="AB237" s="1227"/>
      <c r="AC237" s="739"/>
      <c r="AD237" s="739"/>
      <c r="AE237" s="108"/>
    </row>
    <row r="238" spans="28:31" ht="15">
      <c r="AB238" s="1227"/>
      <c r="AC238" s="739"/>
      <c r="AD238" s="739"/>
      <c r="AE238" s="108"/>
    </row>
    <row r="239" spans="28:31" ht="15">
      <c r="AB239" s="1227"/>
      <c r="AC239" s="739"/>
      <c r="AD239" s="739"/>
      <c r="AE239" s="108"/>
    </row>
    <row r="240" spans="28:31" ht="15">
      <c r="AB240" s="1227"/>
      <c r="AC240" s="739"/>
      <c r="AD240" s="739"/>
      <c r="AE240" s="108"/>
    </row>
    <row r="241" spans="28:31" ht="15">
      <c r="AB241" s="1227"/>
      <c r="AC241" s="739"/>
      <c r="AD241" s="739"/>
      <c r="AE241" s="108"/>
    </row>
    <row r="242" spans="28:31" ht="15">
      <c r="AB242" s="1227"/>
      <c r="AC242" s="739"/>
      <c r="AD242" s="739"/>
      <c r="AE242" s="108"/>
    </row>
    <row r="243" spans="28:31" ht="15">
      <c r="AB243" s="1227"/>
      <c r="AC243" s="739"/>
      <c r="AD243" s="739"/>
      <c r="AE243" s="108"/>
    </row>
    <row r="244" spans="28:31" ht="15">
      <c r="AB244" s="1227"/>
      <c r="AC244" s="739"/>
      <c r="AD244" s="739"/>
      <c r="AE244" s="108"/>
    </row>
    <row r="245" spans="28:31" ht="15">
      <c r="AB245" s="1227"/>
      <c r="AC245" s="739"/>
      <c r="AD245" s="739"/>
      <c r="AE245" s="108"/>
    </row>
    <row r="246" spans="28:31" ht="15">
      <c r="AB246" s="1227"/>
      <c r="AC246" s="739"/>
      <c r="AD246" s="739"/>
      <c r="AE246" s="108"/>
    </row>
    <row r="247" spans="28:31" ht="15">
      <c r="AB247" s="1227"/>
      <c r="AC247" s="739"/>
      <c r="AD247" s="739"/>
      <c r="AE247" s="108"/>
    </row>
    <row r="248" spans="28:31" ht="15">
      <c r="AB248" s="1227"/>
      <c r="AC248" s="739"/>
      <c r="AD248" s="739"/>
      <c r="AE248" s="108"/>
    </row>
    <row r="249" spans="28:31" ht="15">
      <c r="AB249" s="1227"/>
      <c r="AC249" s="739"/>
      <c r="AD249" s="739"/>
      <c r="AE249" s="108"/>
    </row>
    <row r="250" spans="28:31" ht="15">
      <c r="AB250" s="1227"/>
      <c r="AC250" s="739"/>
      <c r="AD250" s="739"/>
      <c r="AE250" s="108"/>
    </row>
    <row r="251" spans="28:31" ht="15">
      <c r="AB251" s="1227"/>
      <c r="AC251" s="739"/>
      <c r="AD251" s="739"/>
      <c r="AE251" s="108"/>
    </row>
    <row r="252" spans="28:31" ht="15">
      <c r="AB252" s="1227"/>
      <c r="AC252" s="739"/>
      <c r="AD252" s="739"/>
      <c r="AE252" s="108"/>
    </row>
    <row r="253" spans="28:31" ht="15">
      <c r="AB253" s="1227"/>
      <c r="AC253" s="739"/>
      <c r="AD253" s="739"/>
      <c r="AE253" s="108"/>
    </row>
    <row r="254" spans="28:31" ht="15">
      <c r="AB254" s="1227"/>
      <c r="AC254" s="739"/>
      <c r="AD254" s="739"/>
      <c r="AE254" s="108"/>
    </row>
    <row r="255" spans="28:31" ht="15">
      <c r="AB255" s="1227"/>
      <c r="AC255" s="739"/>
      <c r="AD255" s="739"/>
      <c r="AE255" s="108"/>
    </row>
    <row r="256" spans="28:31" ht="15">
      <c r="AB256" s="1227"/>
      <c r="AC256" s="739"/>
      <c r="AD256" s="739"/>
      <c r="AE256" s="108"/>
    </row>
    <row r="257" spans="28:31" ht="15">
      <c r="AB257" s="1227"/>
      <c r="AC257" s="739"/>
      <c r="AD257" s="739"/>
      <c r="AE257" s="108"/>
    </row>
    <row r="258" spans="28:31" ht="15">
      <c r="AB258" s="1227"/>
      <c r="AC258" s="739"/>
      <c r="AD258" s="739"/>
      <c r="AE258" s="108"/>
    </row>
    <row r="259" spans="28:31" ht="15">
      <c r="AB259" s="1227"/>
      <c r="AC259" s="739"/>
      <c r="AD259" s="739"/>
      <c r="AE259" s="108"/>
    </row>
    <row r="260" spans="28:31" ht="15">
      <c r="AB260" s="1227"/>
      <c r="AC260" s="739"/>
      <c r="AD260" s="739"/>
      <c r="AE260" s="108"/>
    </row>
    <row r="261" spans="28:31" ht="15">
      <c r="AB261" s="1227"/>
      <c r="AC261" s="739"/>
      <c r="AD261" s="739"/>
      <c r="AE261" s="108"/>
    </row>
    <row r="262" spans="28:31" ht="15">
      <c r="AB262" s="1227"/>
      <c r="AC262" s="739"/>
      <c r="AD262" s="739"/>
      <c r="AE262" s="108"/>
    </row>
    <row r="263" spans="28:31" ht="15">
      <c r="AB263" s="1227"/>
      <c r="AC263" s="739"/>
      <c r="AD263" s="739"/>
      <c r="AE263" s="108"/>
    </row>
    <row r="264" spans="28:31" ht="15">
      <c r="AB264" s="1227"/>
      <c r="AC264" s="739"/>
      <c r="AD264" s="739"/>
      <c r="AE264" s="108"/>
    </row>
    <row r="265" spans="28:31" ht="15">
      <c r="AB265" s="1227"/>
      <c r="AC265" s="739"/>
      <c r="AD265" s="739"/>
      <c r="AE265" s="108"/>
    </row>
    <row r="266" spans="28:31" ht="15">
      <c r="AB266" s="1227"/>
      <c r="AC266" s="739"/>
      <c r="AD266" s="739"/>
      <c r="AE266" s="108"/>
    </row>
    <row r="267" spans="28:31" ht="15">
      <c r="AB267" s="1227"/>
      <c r="AC267" s="739"/>
      <c r="AD267" s="739"/>
      <c r="AE267" s="108"/>
    </row>
    <row r="268" spans="28:31" ht="15">
      <c r="AB268" s="1227"/>
      <c r="AC268" s="739"/>
      <c r="AD268" s="739"/>
      <c r="AE268" s="108"/>
    </row>
    <row r="269" spans="28:31" ht="15">
      <c r="AB269" s="1227"/>
      <c r="AC269" s="739"/>
      <c r="AD269" s="739"/>
      <c r="AE269" s="108"/>
    </row>
    <row r="270" spans="28:31" ht="15">
      <c r="AB270" s="1227"/>
      <c r="AC270" s="739"/>
      <c r="AD270" s="739"/>
      <c r="AE270" s="108"/>
    </row>
    <row r="271" spans="28:31" ht="15">
      <c r="AB271" s="1227"/>
      <c r="AC271" s="739"/>
      <c r="AD271" s="739"/>
      <c r="AE271" s="108"/>
    </row>
    <row r="272" spans="28:31" ht="15">
      <c r="AB272" s="1227"/>
      <c r="AC272" s="739"/>
      <c r="AD272" s="739"/>
      <c r="AE272" s="108"/>
    </row>
    <row r="273" spans="28:31" ht="15">
      <c r="AB273" s="1227"/>
      <c r="AC273" s="739"/>
      <c r="AD273" s="739"/>
      <c r="AE273" s="108"/>
    </row>
    <row r="274" spans="28:31" ht="15">
      <c r="AB274" s="1227"/>
      <c r="AC274" s="739"/>
      <c r="AD274" s="739"/>
      <c r="AE274" s="108"/>
    </row>
    <row r="275" spans="28:31" ht="15">
      <c r="AB275" s="1227"/>
      <c r="AC275" s="739"/>
      <c r="AD275" s="739"/>
      <c r="AE275" s="108"/>
    </row>
    <row r="276" spans="28:31" ht="15">
      <c r="AB276" s="1227"/>
      <c r="AC276" s="739"/>
      <c r="AD276" s="739"/>
      <c r="AE276" s="108"/>
    </row>
    <row r="277" spans="28:31" ht="15">
      <c r="AB277" s="1227"/>
      <c r="AC277" s="739"/>
      <c r="AD277" s="739"/>
      <c r="AE277" s="108"/>
    </row>
    <row r="278" spans="28:31" ht="15">
      <c r="AB278" s="1227"/>
      <c r="AC278" s="739"/>
      <c r="AD278" s="739"/>
      <c r="AE278" s="108"/>
    </row>
    <row r="279" spans="28:31" ht="15">
      <c r="AB279" s="1227"/>
      <c r="AC279" s="739"/>
      <c r="AD279" s="739"/>
      <c r="AE279" s="108"/>
    </row>
    <row r="280" spans="28:31" ht="15">
      <c r="AB280" s="1227"/>
      <c r="AC280" s="739"/>
      <c r="AD280" s="739"/>
      <c r="AE280" s="108"/>
    </row>
    <row r="281" spans="28:31" ht="15">
      <c r="AB281" s="1227"/>
      <c r="AC281" s="739"/>
      <c r="AD281" s="739"/>
      <c r="AE281" s="108"/>
    </row>
    <row r="282" spans="28:31" ht="15">
      <c r="AB282" s="1227"/>
      <c r="AC282" s="739"/>
      <c r="AD282" s="739"/>
      <c r="AE282" s="108"/>
    </row>
    <row r="283" spans="28:31" ht="15">
      <c r="AB283" s="1227"/>
      <c r="AC283" s="739"/>
      <c r="AD283" s="739"/>
      <c r="AE283" s="108"/>
    </row>
    <row r="284" spans="28:31" ht="15">
      <c r="AB284" s="1227"/>
      <c r="AC284" s="739"/>
      <c r="AD284" s="739"/>
      <c r="AE284" s="108"/>
    </row>
    <row r="285" spans="28:31" ht="15">
      <c r="AB285" s="1227"/>
      <c r="AC285" s="739"/>
      <c r="AD285" s="739"/>
      <c r="AE285" s="108"/>
    </row>
    <row r="286" spans="28:31" ht="15">
      <c r="AB286" s="1227"/>
      <c r="AC286" s="739"/>
      <c r="AD286" s="739"/>
      <c r="AE286" s="108"/>
    </row>
    <row r="287" spans="28:31" ht="15">
      <c r="AB287" s="1227"/>
      <c r="AC287" s="739"/>
      <c r="AD287" s="739"/>
      <c r="AE287" s="108"/>
    </row>
    <row r="288" spans="28:31" ht="15">
      <c r="AB288" s="1227"/>
      <c r="AC288" s="739"/>
      <c r="AD288" s="739"/>
      <c r="AE288" s="108"/>
    </row>
    <row r="289" spans="28:31" ht="15">
      <c r="AB289" s="1227"/>
      <c r="AC289" s="739"/>
      <c r="AD289" s="739"/>
      <c r="AE289" s="108"/>
    </row>
    <row r="290" spans="28:31" ht="15">
      <c r="AB290" s="1227"/>
      <c r="AC290" s="739"/>
      <c r="AD290" s="739"/>
      <c r="AE290" s="108"/>
    </row>
    <row r="291" spans="28:31" ht="15">
      <c r="AB291" s="1227"/>
      <c r="AC291" s="739"/>
      <c r="AD291" s="739"/>
      <c r="AE291" s="108"/>
    </row>
    <row r="292" spans="28:31" ht="15">
      <c r="AB292" s="1227"/>
      <c r="AC292" s="739"/>
      <c r="AD292" s="739"/>
      <c r="AE292" s="108"/>
    </row>
    <row r="293" spans="28:31" ht="15">
      <c r="AB293" s="1227"/>
      <c r="AC293" s="739"/>
      <c r="AD293" s="739"/>
      <c r="AE293" s="108"/>
    </row>
    <row r="294" spans="28:31" ht="15">
      <c r="AB294" s="1227"/>
      <c r="AC294" s="739"/>
      <c r="AD294" s="739"/>
      <c r="AE294" s="108"/>
    </row>
    <row r="295" spans="28:31" ht="15">
      <c r="AB295" s="1227"/>
      <c r="AC295" s="739"/>
      <c r="AD295" s="739"/>
      <c r="AE295" s="108"/>
    </row>
    <row r="296" spans="28:31" ht="15">
      <c r="AB296" s="1227"/>
      <c r="AC296" s="739"/>
      <c r="AD296" s="739"/>
      <c r="AE296" s="108"/>
    </row>
    <row r="297" spans="28:31" ht="15">
      <c r="AB297" s="1227"/>
      <c r="AC297" s="739"/>
      <c r="AD297" s="739"/>
      <c r="AE297" s="108"/>
    </row>
    <row r="298" spans="28:31" ht="15">
      <c r="AB298" s="1227"/>
      <c r="AC298" s="739"/>
      <c r="AD298" s="739"/>
      <c r="AE298" s="108"/>
    </row>
    <row r="299" spans="28:31" ht="15">
      <c r="AB299" s="1227"/>
      <c r="AC299" s="739"/>
      <c r="AD299" s="739"/>
      <c r="AE299" s="108"/>
    </row>
    <row r="300" spans="28:31" ht="15">
      <c r="AB300" s="1227"/>
      <c r="AC300" s="739"/>
      <c r="AD300" s="739"/>
      <c r="AE300" s="108"/>
    </row>
    <row r="301" spans="28:31" ht="15">
      <c r="AB301" s="1227"/>
      <c r="AC301" s="739"/>
      <c r="AD301" s="739"/>
      <c r="AE301" s="108"/>
    </row>
    <row r="302" spans="28:31" ht="15">
      <c r="AB302" s="1227"/>
      <c r="AC302" s="739"/>
      <c r="AD302" s="739"/>
      <c r="AE302" s="108"/>
    </row>
    <row r="303" spans="28:31" ht="15">
      <c r="AB303" s="1227"/>
      <c r="AC303" s="739"/>
      <c r="AD303" s="739"/>
      <c r="AE303" s="108"/>
    </row>
    <row r="304" spans="28:31" ht="15">
      <c r="AB304" s="1227"/>
      <c r="AC304" s="739"/>
      <c r="AD304" s="739"/>
      <c r="AE304" s="108"/>
    </row>
    <row r="305" spans="28:31" ht="15">
      <c r="AB305" s="1227"/>
      <c r="AC305" s="739"/>
      <c r="AD305" s="739"/>
      <c r="AE305" s="108"/>
    </row>
    <row r="306" spans="28:31" ht="15">
      <c r="AB306" s="1227"/>
      <c r="AC306" s="739"/>
      <c r="AD306" s="739"/>
      <c r="AE306" s="108"/>
    </row>
    <row r="307" spans="28:31" ht="15">
      <c r="AB307" s="1227"/>
      <c r="AC307" s="739"/>
      <c r="AD307" s="739"/>
      <c r="AE307" s="108"/>
    </row>
    <row r="308" spans="28:31" ht="15">
      <c r="AB308" s="1227"/>
      <c r="AC308" s="739"/>
      <c r="AD308" s="739"/>
      <c r="AE308" s="108"/>
    </row>
    <row r="309" spans="28:31" ht="15">
      <c r="AB309" s="1227"/>
      <c r="AC309" s="739"/>
      <c r="AD309" s="739"/>
      <c r="AE309" s="108"/>
    </row>
    <row r="310" spans="28:31" ht="15">
      <c r="AB310" s="1227"/>
      <c r="AC310" s="739"/>
      <c r="AD310" s="739"/>
      <c r="AE310" s="108"/>
    </row>
    <row r="311" spans="28:31" ht="15">
      <c r="AB311" s="1227"/>
      <c r="AC311" s="739"/>
      <c r="AD311" s="739"/>
      <c r="AE311" s="108"/>
    </row>
    <row r="312" spans="28:31" ht="15">
      <c r="AB312" s="1227"/>
      <c r="AC312" s="739"/>
      <c r="AD312" s="739"/>
      <c r="AE312" s="108"/>
    </row>
    <row r="313" spans="28:31" ht="15">
      <c r="AB313" s="1227"/>
      <c r="AC313" s="739"/>
      <c r="AD313" s="739"/>
      <c r="AE313" s="108"/>
    </row>
    <row r="314" spans="28:31" ht="15">
      <c r="AB314" s="1227"/>
      <c r="AC314" s="739"/>
      <c r="AD314" s="739"/>
      <c r="AE314" s="108"/>
    </row>
    <row r="315" spans="28:31" ht="15">
      <c r="AB315" s="1227"/>
      <c r="AC315" s="739"/>
      <c r="AD315" s="739"/>
      <c r="AE315" s="108"/>
    </row>
    <row r="316" spans="28:31" ht="15">
      <c r="AB316" s="1227"/>
      <c r="AC316" s="739"/>
      <c r="AD316" s="739"/>
      <c r="AE316" s="108"/>
    </row>
    <row r="317" spans="28:31" ht="15">
      <c r="AB317" s="1227"/>
      <c r="AC317" s="739"/>
      <c r="AD317" s="739"/>
      <c r="AE317" s="108"/>
    </row>
    <row r="318" spans="28:31" ht="15">
      <c r="AB318" s="1227"/>
      <c r="AC318" s="739"/>
      <c r="AD318" s="739"/>
      <c r="AE318" s="108"/>
    </row>
    <row r="319" spans="28:31" ht="15">
      <c r="AB319" s="1227"/>
      <c r="AC319" s="739"/>
      <c r="AD319" s="739"/>
      <c r="AE319" s="108"/>
    </row>
    <row r="320" spans="28:31" ht="15">
      <c r="AB320" s="1227"/>
      <c r="AC320" s="739"/>
      <c r="AD320" s="739"/>
      <c r="AE320" s="108"/>
    </row>
    <row r="321" spans="28:31" ht="15">
      <c r="AB321" s="1227"/>
      <c r="AC321" s="739"/>
      <c r="AD321" s="739"/>
      <c r="AE321" s="108"/>
    </row>
    <row r="322" spans="28:31" ht="15">
      <c r="AB322" s="1227"/>
      <c r="AC322" s="739"/>
      <c r="AD322" s="739"/>
      <c r="AE322" s="108"/>
    </row>
    <row r="323" spans="28:31" ht="15">
      <c r="AB323" s="1227"/>
      <c r="AC323" s="739"/>
      <c r="AD323" s="739"/>
      <c r="AE323" s="108"/>
    </row>
    <row r="324" spans="28:31" ht="15">
      <c r="AB324" s="1227"/>
      <c r="AC324" s="739"/>
      <c r="AD324" s="739"/>
      <c r="AE324" s="108"/>
    </row>
    <row r="325" spans="28:31" ht="15">
      <c r="AB325" s="1227"/>
      <c r="AC325" s="739"/>
      <c r="AD325" s="739"/>
      <c r="AE325" s="108"/>
    </row>
    <row r="326" spans="28:31" ht="15">
      <c r="AB326" s="1227"/>
      <c r="AC326" s="739"/>
      <c r="AD326" s="739"/>
      <c r="AE326" s="108"/>
    </row>
    <row r="327" spans="28:31" ht="15">
      <c r="AB327" s="1227"/>
      <c r="AC327" s="739"/>
      <c r="AD327" s="739"/>
      <c r="AE327" s="108"/>
    </row>
    <row r="328" spans="28:31" ht="15">
      <c r="AB328" s="1227"/>
      <c r="AC328" s="739"/>
      <c r="AD328" s="739"/>
      <c r="AE328" s="108"/>
    </row>
    <row r="329" spans="28:31" ht="15">
      <c r="AB329" s="1227"/>
      <c r="AC329" s="739"/>
      <c r="AD329" s="739"/>
      <c r="AE329" s="108"/>
    </row>
    <row r="330" spans="28:31" ht="15">
      <c r="AB330" s="1227"/>
      <c r="AC330" s="739"/>
      <c r="AD330" s="739"/>
      <c r="AE330" s="108"/>
    </row>
    <row r="331" spans="28:31" ht="15">
      <c r="AB331" s="1227"/>
      <c r="AC331" s="739"/>
      <c r="AD331" s="739"/>
      <c r="AE331" s="108"/>
    </row>
    <row r="332" spans="28:31" ht="15">
      <c r="AB332" s="1227"/>
      <c r="AC332" s="739"/>
      <c r="AD332" s="739"/>
      <c r="AE332" s="108"/>
    </row>
    <row r="333" spans="28:31" ht="15">
      <c r="AB333" s="1227"/>
      <c r="AC333" s="739"/>
      <c r="AD333" s="739"/>
      <c r="AE333" s="108"/>
    </row>
    <row r="334" spans="28:31" ht="15">
      <c r="AB334" s="1227"/>
      <c r="AC334" s="739"/>
      <c r="AD334" s="739"/>
      <c r="AE334" s="108"/>
    </row>
    <row r="335" spans="28:31" ht="15">
      <c r="AB335" s="1227"/>
      <c r="AC335" s="739"/>
      <c r="AD335" s="739"/>
      <c r="AE335" s="108"/>
    </row>
    <row r="336" spans="28:31" ht="15">
      <c r="AB336" s="1227"/>
      <c r="AC336" s="739"/>
      <c r="AD336" s="739"/>
      <c r="AE336" s="108"/>
    </row>
    <row r="337" spans="28:31" ht="15">
      <c r="AB337" s="1227"/>
      <c r="AC337" s="739"/>
      <c r="AD337" s="739"/>
      <c r="AE337" s="108"/>
    </row>
    <row r="338" spans="28:31" ht="15">
      <c r="AB338" s="1227"/>
      <c r="AC338" s="739"/>
      <c r="AD338" s="739"/>
      <c r="AE338" s="108"/>
    </row>
    <row r="339" spans="28:31" ht="15">
      <c r="AB339" s="1227"/>
      <c r="AC339" s="739"/>
      <c r="AD339" s="739"/>
      <c r="AE339" s="108"/>
    </row>
    <row r="340" spans="28:31" ht="15">
      <c r="AB340" s="1227"/>
      <c r="AC340" s="739"/>
      <c r="AD340" s="739"/>
      <c r="AE340" s="108"/>
    </row>
    <row r="341" spans="28:31" ht="15">
      <c r="AB341" s="1227"/>
      <c r="AC341" s="739"/>
      <c r="AD341" s="739"/>
      <c r="AE341" s="108"/>
    </row>
    <row r="342" spans="28:31" ht="15">
      <c r="AB342" s="1227"/>
      <c r="AC342" s="739"/>
      <c r="AD342" s="739"/>
      <c r="AE342" s="108"/>
    </row>
    <row r="343" spans="28:31" ht="15">
      <c r="AB343" s="1227"/>
      <c r="AC343" s="739"/>
      <c r="AD343" s="739"/>
      <c r="AE343" s="108"/>
    </row>
    <row r="344" spans="28:31" ht="15">
      <c r="AB344" s="1227"/>
      <c r="AC344" s="739"/>
      <c r="AD344" s="739"/>
      <c r="AE344" s="108"/>
    </row>
    <row r="345" spans="28:31" ht="15">
      <c r="AB345" s="1227"/>
      <c r="AC345" s="739"/>
      <c r="AD345" s="739"/>
      <c r="AE345" s="108"/>
    </row>
    <row r="346" spans="28:31" ht="15">
      <c r="AB346" s="1227"/>
      <c r="AC346" s="739"/>
      <c r="AD346" s="739"/>
      <c r="AE346" s="108"/>
    </row>
    <row r="347" spans="28:31" ht="15">
      <c r="AB347" s="1227"/>
      <c r="AC347" s="739"/>
      <c r="AD347" s="739"/>
      <c r="AE347" s="108"/>
    </row>
    <row r="348" spans="28:31" ht="15">
      <c r="AB348" s="1227"/>
      <c r="AC348" s="739"/>
      <c r="AD348" s="739"/>
      <c r="AE348" s="108"/>
    </row>
    <row r="349" spans="28:31" ht="15">
      <c r="AB349" s="1227"/>
      <c r="AC349" s="739"/>
      <c r="AD349" s="739"/>
      <c r="AE349" s="108"/>
    </row>
    <row r="350" spans="28:31" ht="15">
      <c r="AB350" s="1227"/>
      <c r="AC350" s="739"/>
      <c r="AD350" s="739"/>
      <c r="AE350" s="108"/>
    </row>
    <row r="351" spans="28:31" ht="15">
      <c r="AB351" s="1227"/>
      <c r="AC351" s="739"/>
      <c r="AD351" s="739"/>
      <c r="AE351" s="108"/>
    </row>
    <row r="352" spans="28:31" ht="15">
      <c r="AB352" s="1227"/>
      <c r="AC352" s="739"/>
      <c r="AD352" s="739"/>
      <c r="AE352" s="108"/>
    </row>
    <row r="353" spans="28:31" ht="15">
      <c r="AB353" s="1227"/>
      <c r="AC353" s="739"/>
      <c r="AD353" s="739"/>
      <c r="AE353" s="108"/>
    </row>
    <row r="354" spans="28:31" ht="15">
      <c r="AB354" s="1227"/>
      <c r="AC354" s="739"/>
      <c r="AD354" s="739"/>
      <c r="AE354" s="108"/>
    </row>
    <row r="355" spans="28:31" ht="15">
      <c r="AB355" s="1227"/>
      <c r="AC355" s="739"/>
      <c r="AD355" s="739"/>
      <c r="AE355" s="108"/>
    </row>
    <row r="356" spans="28:31" ht="15">
      <c r="AB356" s="1227"/>
      <c r="AC356" s="739"/>
      <c r="AD356" s="739"/>
      <c r="AE356" s="108"/>
    </row>
    <row r="357" spans="28:31" ht="15">
      <c r="AB357" s="1227"/>
      <c r="AC357" s="739"/>
      <c r="AD357" s="739"/>
      <c r="AE357" s="108"/>
    </row>
    <row r="358" spans="28:31" ht="15">
      <c r="AB358" s="1227"/>
      <c r="AC358" s="739"/>
      <c r="AD358" s="739"/>
      <c r="AE358" s="108"/>
    </row>
    <row r="359" spans="28:31" ht="15">
      <c r="AB359" s="1227"/>
      <c r="AC359" s="739"/>
      <c r="AD359" s="739"/>
      <c r="AE359" s="108"/>
    </row>
    <row r="360" spans="28:31" ht="15">
      <c r="AB360" s="1227"/>
      <c r="AC360" s="739"/>
      <c r="AD360" s="739"/>
      <c r="AE360" s="108"/>
    </row>
    <row r="361" spans="28:31" ht="15">
      <c r="AB361" s="1227"/>
      <c r="AC361" s="739"/>
      <c r="AD361" s="739"/>
      <c r="AE361" s="108"/>
    </row>
    <row r="362" spans="28:31" ht="15">
      <c r="AB362" s="1227"/>
      <c r="AC362" s="739"/>
      <c r="AD362" s="739"/>
      <c r="AE362" s="108"/>
    </row>
    <row r="363" spans="28:31" ht="15">
      <c r="AB363" s="1227"/>
      <c r="AC363" s="739"/>
      <c r="AD363" s="739"/>
      <c r="AE363" s="108"/>
    </row>
    <row r="364" spans="28:31" ht="15">
      <c r="AB364" s="1227"/>
      <c r="AC364" s="739"/>
      <c r="AD364" s="739"/>
      <c r="AE364" s="108"/>
    </row>
    <row r="365" spans="28:31" ht="15">
      <c r="AB365" s="1227"/>
      <c r="AC365" s="739"/>
      <c r="AD365" s="739"/>
      <c r="AE365" s="108"/>
    </row>
    <row r="366" spans="28:31" ht="15">
      <c r="AB366" s="1227"/>
      <c r="AC366" s="739"/>
      <c r="AD366" s="739"/>
      <c r="AE366" s="108"/>
    </row>
    <row r="367" spans="28:31" ht="15">
      <c r="AB367" s="1227"/>
      <c r="AC367" s="739"/>
      <c r="AD367" s="739"/>
      <c r="AE367" s="108"/>
    </row>
    <row r="368" spans="28:31" ht="15">
      <c r="AB368" s="1227"/>
      <c r="AC368" s="739"/>
      <c r="AD368" s="739"/>
      <c r="AE368" s="108"/>
    </row>
    <row r="369" spans="28:31" ht="15">
      <c r="AB369" s="1227"/>
      <c r="AC369" s="739"/>
      <c r="AD369" s="739"/>
      <c r="AE369" s="108"/>
    </row>
    <row r="370" spans="28:31" ht="15">
      <c r="AB370" s="1227"/>
      <c r="AC370" s="739"/>
      <c r="AD370" s="739"/>
      <c r="AE370" s="108"/>
    </row>
    <row r="371" spans="28:31" ht="15">
      <c r="AB371" s="1227"/>
      <c r="AC371" s="739"/>
      <c r="AD371" s="739"/>
      <c r="AE371" s="108"/>
    </row>
    <row r="372" spans="28:31" ht="15">
      <c r="AB372" s="1227"/>
      <c r="AC372" s="739"/>
      <c r="AD372" s="739"/>
      <c r="AE372" s="108"/>
    </row>
    <row r="373" spans="28:31" ht="15">
      <c r="AB373" s="1227"/>
      <c r="AC373" s="739"/>
      <c r="AD373" s="739"/>
      <c r="AE373" s="108"/>
    </row>
    <row r="374" spans="28:31" ht="15">
      <c r="AB374" s="1227"/>
      <c r="AC374" s="739"/>
      <c r="AD374" s="739"/>
      <c r="AE374" s="108"/>
    </row>
    <row r="375" spans="28:31" ht="15">
      <c r="AB375" s="1227"/>
      <c r="AC375" s="739"/>
      <c r="AD375" s="739"/>
      <c r="AE375" s="108"/>
    </row>
    <row r="376" spans="28:31" ht="15">
      <c r="AB376" s="1227"/>
      <c r="AC376" s="739"/>
      <c r="AD376" s="739"/>
      <c r="AE376" s="108"/>
    </row>
    <row r="377" spans="28:31" ht="15">
      <c r="AB377" s="1227"/>
      <c r="AC377" s="739"/>
      <c r="AD377" s="739"/>
      <c r="AE377" s="108"/>
    </row>
    <row r="378" spans="28:31" ht="15">
      <c r="AB378" s="1227"/>
      <c r="AC378" s="739"/>
      <c r="AD378" s="739"/>
      <c r="AE378" s="108"/>
    </row>
    <row r="379" spans="28:31" ht="15">
      <c r="AB379" s="1227"/>
      <c r="AC379" s="739"/>
      <c r="AD379" s="739"/>
      <c r="AE379" s="108"/>
    </row>
    <row r="380" spans="28:31" ht="15">
      <c r="AB380" s="1227"/>
      <c r="AC380" s="739"/>
      <c r="AD380" s="739"/>
      <c r="AE380" s="108"/>
    </row>
    <row r="381" spans="28:31" ht="15">
      <c r="AB381" s="1227"/>
      <c r="AC381" s="739"/>
      <c r="AD381" s="739"/>
      <c r="AE381" s="108"/>
    </row>
    <row r="382" spans="28:31" ht="15">
      <c r="AB382" s="1227"/>
      <c r="AC382" s="739"/>
      <c r="AD382" s="739"/>
      <c r="AE382" s="108"/>
    </row>
    <row r="383" spans="28:31" ht="15">
      <c r="AB383" s="1227"/>
      <c r="AC383" s="739"/>
      <c r="AD383" s="739"/>
      <c r="AE383" s="108"/>
    </row>
    <row r="384" spans="28:31" ht="15">
      <c r="AB384" s="1227"/>
      <c r="AC384" s="739"/>
      <c r="AD384" s="739"/>
      <c r="AE384" s="108"/>
    </row>
    <row r="385" spans="28:31" ht="15">
      <c r="AB385" s="1227"/>
      <c r="AC385" s="739"/>
      <c r="AD385" s="739"/>
      <c r="AE385" s="108"/>
    </row>
    <row r="386" spans="28:31" ht="15">
      <c r="AB386" s="1227"/>
      <c r="AC386" s="739"/>
      <c r="AD386" s="739"/>
      <c r="AE386" s="108"/>
    </row>
    <row r="387" spans="28:31" ht="15">
      <c r="AB387" s="1227"/>
      <c r="AC387" s="739"/>
      <c r="AD387" s="739"/>
      <c r="AE387" s="108"/>
    </row>
    <row r="388" spans="28:31" ht="15">
      <c r="AB388" s="1227"/>
      <c r="AC388" s="739"/>
      <c r="AD388" s="739"/>
      <c r="AE388" s="108"/>
    </row>
    <row r="389" spans="28:31" ht="15">
      <c r="AB389" s="1227"/>
      <c r="AC389" s="739"/>
      <c r="AD389" s="739"/>
      <c r="AE389" s="108"/>
    </row>
    <row r="390" spans="28:31" ht="15">
      <c r="AB390" s="1227"/>
      <c r="AC390" s="739"/>
      <c r="AD390" s="739"/>
      <c r="AE390" s="108"/>
    </row>
    <row r="391" spans="28:31" ht="15">
      <c r="AB391" s="1227"/>
      <c r="AC391" s="739"/>
      <c r="AD391" s="739"/>
      <c r="AE391" s="108"/>
    </row>
    <row r="392" spans="28:31" ht="15">
      <c r="AB392" s="1227"/>
      <c r="AC392" s="739"/>
      <c r="AD392" s="739"/>
      <c r="AE392" s="108"/>
    </row>
    <row r="393" spans="28:31" ht="15">
      <c r="AB393" s="1227"/>
      <c r="AC393" s="739"/>
      <c r="AD393" s="739"/>
      <c r="AE393" s="108"/>
    </row>
    <row r="394" spans="28:31" ht="15">
      <c r="AB394" s="1227"/>
      <c r="AC394" s="739"/>
      <c r="AD394" s="739"/>
      <c r="AE394" s="108"/>
    </row>
    <row r="395" spans="28:31" ht="15">
      <c r="AB395" s="1227"/>
      <c r="AC395" s="739"/>
      <c r="AD395" s="739"/>
      <c r="AE395" s="108"/>
    </row>
    <row r="396" spans="28:31" ht="15">
      <c r="AB396" s="1227"/>
      <c r="AC396" s="739"/>
      <c r="AD396" s="739"/>
      <c r="AE396" s="108"/>
    </row>
    <row r="397" spans="28:31" ht="15">
      <c r="AB397" s="1227"/>
      <c r="AC397" s="739"/>
      <c r="AD397" s="739"/>
      <c r="AE397" s="108"/>
    </row>
    <row r="398" spans="28:31" ht="15">
      <c r="AB398" s="1227"/>
      <c r="AC398" s="739"/>
      <c r="AD398" s="739"/>
      <c r="AE398" s="108"/>
    </row>
    <row r="399" spans="28:31" ht="15">
      <c r="AB399" s="1227"/>
      <c r="AC399" s="739"/>
      <c r="AD399" s="739"/>
      <c r="AE399" s="108"/>
    </row>
    <row r="400" spans="28:31" ht="15">
      <c r="AB400" s="1227"/>
      <c r="AC400" s="739"/>
      <c r="AD400" s="739"/>
      <c r="AE400" s="108"/>
    </row>
    <row r="401" spans="28:31" ht="15">
      <c r="AB401" s="1227"/>
      <c r="AC401" s="739"/>
      <c r="AD401" s="739"/>
      <c r="AE401" s="108"/>
    </row>
    <row r="402" spans="28:31" ht="15">
      <c r="AB402" s="1227"/>
      <c r="AC402" s="739"/>
      <c r="AD402" s="739"/>
      <c r="AE402" s="108"/>
    </row>
    <row r="403" spans="28:31" ht="15">
      <c r="AB403" s="1227"/>
      <c r="AC403" s="739"/>
      <c r="AD403" s="739"/>
      <c r="AE403" s="108"/>
    </row>
    <row r="404" spans="28:31" ht="15">
      <c r="AB404" s="1227"/>
      <c r="AC404" s="739"/>
      <c r="AD404" s="739"/>
      <c r="AE404" s="108"/>
    </row>
    <row r="405" spans="28:31" ht="15">
      <c r="AB405" s="1227"/>
      <c r="AC405" s="739"/>
      <c r="AD405" s="739"/>
      <c r="AE405" s="108"/>
    </row>
    <row r="406" spans="28:31" ht="15">
      <c r="AB406" s="1227"/>
      <c r="AC406" s="739"/>
      <c r="AD406" s="739"/>
      <c r="AE406" s="108"/>
    </row>
    <row r="407" spans="28:31" ht="15">
      <c r="AB407" s="1227"/>
      <c r="AC407" s="739"/>
      <c r="AD407" s="739"/>
      <c r="AE407" s="108"/>
    </row>
    <row r="408" spans="28:31" ht="15">
      <c r="AB408" s="1227"/>
      <c r="AC408" s="739"/>
      <c r="AD408" s="739"/>
      <c r="AE408" s="108"/>
    </row>
    <row r="409" spans="28:31" ht="15">
      <c r="AB409" s="1227"/>
      <c r="AC409" s="739"/>
      <c r="AD409" s="739"/>
      <c r="AE409" s="108"/>
    </row>
    <row r="410" spans="28:31" ht="15">
      <c r="AB410" s="1227"/>
      <c r="AC410" s="739"/>
      <c r="AD410" s="739"/>
      <c r="AE410" s="108"/>
    </row>
    <row r="411" spans="28:31" ht="15">
      <c r="AB411" s="1227"/>
      <c r="AC411" s="739"/>
      <c r="AD411" s="739"/>
      <c r="AE411" s="108"/>
    </row>
    <row r="412" spans="28:31" ht="15">
      <c r="AB412" s="1227"/>
      <c r="AC412" s="739"/>
      <c r="AD412" s="739"/>
      <c r="AE412" s="108"/>
    </row>
    <row r="413" spans="28:31" ht="15">
      <c r="AB413" s="1227"/>
      <c r="AC413" s="739"/>
      <c r="AD413" s="739"/>
      <c r="AE413" s="108"/>
    </row>
    <row r="414" spans="28:31" ht="15">
      <c r="AB414" s="1227"/>
      <c r="AC414" s="739"/>
      <c r="AD414" s="739"/>
      <c r="AE414" s="108"/>
    </row>
    <row r="415" spans="28:31" ht="15">
      <c r="AB415" s="1227"/>
      <c r="AC415" s="739"/>
      <c r="AD415" s="739"/>
      <c r="AE415" s="108"/>
    </row>
    <row r="416" spans="28:31" ht="15">
      <c r="AB416" s="1227"/>
      <c r="AC416" s="739"/>
      <c r="AD416" s="739"/>
      <c r="AE416" s="108"/>
    </row>
    <row r="417" spans="28:31" ht="15">
      <c r="AB417" s="1227"/>
      <c r="AC417" s="739"/>
      <c r="AD417" s="739"/>
      <c r="AE417" s="108"/>
    </row>
    <row r="418" spans="28:31" ht="15">
      <c r="AB418" s="1227"/>
      <c r="AC418" s="739"/>
      <c r="AD418" s="739"/>
      <c r="AE418" s="108"/>
    </row>
    <row r="419" spans="28:31" ht="15">
      <c r="AB419" s="1227"/>
      <c r="AC419" s="739"/>
      <c r="AD419" s="739"/>
      <c r="AE419" s="108"/>
    </row>
    <row r="420" spans="28:31" ht="15">
      <c r="AB420" s="1227"/>
      <c r="AC420" s="739"/>
      <c r="AD420" s="739"/>
      <c r="AE420" s="108"/>
    </row>
    <row r="421" spans="28:31" ht="15">
      <c r="AB421" s="1227"/>
      <c r="AC421" s="739"/>
      <c r="AD421" s="739"/>
      <c r="AE421" s="108"/>
    </row>
    <row r="422" spans="28:31" ht="15">
      <c r="AB422" s="1227"/>
      <c r="AC422" s="739"/>
      <c r="AD422" s="739"/>
      <c r="AE422" s="108"/>
    </row>
    <row r="423" spans="28:31" ht="15">
      <c r="AB423" s="1227"/>
      <c r="AC423" s="739"/>
      <c r="AD423" s="739"/>
      <c r="AE423" s="108"/>
    </row>
    <row r="424" spans="28:31" ht="15">
      <c r="AB424" s="1227"/>
      <c r="AC424" s="739"/>
      <c r="AD424" s="739"/>
      <c r="AE424" s="108"/>
    </row>
    <row r="425" spans="28:31" ht="15">
      <c r="AB425" s="1227"/>
      <c r="AC425" s="739"/>
      <c r="AD425" s="739"/>
      <c r="AE425" s="108"/>
    </row>
    <row r="426" spans="28:31" ht="15">
      <c r="AB426" s="1227"/>
      <c r="AC426" s="739"/>
      <c r="AD426" s="739"/>
      <c r="AE426" s="108"/>
    </row>
    <row r="427" spans="28:31" ht="15">
      <c r="AB427" s="1227"/>
      <c r="AC427" s="739"/>
      <c r="AD427" s="739"/>
      <c r="AE427" s="108"/>
    </row>
    <row r="428" spans="28:31" ht="15">
      <c r="AB428" s="1227"/>
      <c r="AC428" s="739"/>
      <c r="AD428" s="739"/>
      <c r="AE428" s="108"/>
    </row>
    <row r="429" spans="28:31" ht="15">
      <c r="AB429" s="1227"/>
      <c r="AC429" s="739"/>
      <c r="AD429" s="739"/>
      <c r="AE429" s="108"/>
    </row>
    <row r="430" spans="28:31" ht="15">
      <c r="AB430" s="1227"/>
      <c r="AC430" s="739"/>
      <c r="AD430" s="739"/>
      <c r="AE430" s="108"/>
    </row>
    <row r="431" spans="28:31" ht="15">
      <c r="AB431" s="1227"/>
      <c r="AC431" s="739"/>
      <c r="AD431" s="739"/>
      <c r="AE431" s="108"/>
    </row>
    <row r="432" spans="28:31" ht="15">
      <c r="AB432" s="1227"/>
      <c r="AC432" s="739"/>
      <c r="AD432" s="739"/>
      <c r="AE432" s="108"/>
    </row>
    <row r="433" spans="28:31" ht="15">
      <c r="AB433" s="1227"/>
      <c r="AC433" s="739"/>
      <c r="AD433" s="739"/>
      <c r="AE433" s="108"/>
    </row>
    <row r="434" spans="28:31" ht="15">
      <c r="AB434" s="1227"/>
      <c r="AC434" s="739"/>
      <c r="AD434" s="739"/>
      <c r="AE434" s="108"/>
    </row>
    <row r="435" spans="28:31" ht="15">
      <c r="AB435" s="1227"/>
      <c r="AC435" s="739"/>
      <c r="AD435" s="739"/>
      <c r="AE435" s="108"/>
    </row>
    <row r="436" spans="28:31" ht="15">
      <c r="AB436" s="1227"/>
      <c r="AC436" s="739"/>
      <c r="AD436" s="739"/>
      <c r="AE436" s="108"/>
    </row>
    <row r="437" spans="28:31" ht="15">
      <c r="AB437" s="1227"/>
      <c r="AC437" s="739"/>
      <c r="AD437" s="739"/>
      <c r="AE437" s="108"/>
    </row>
    <row r="438" spans="28:31" ht="15">
      <c r="AB438" s="1227"/>
      <c r="AC438" s="739"/>
      <c r="AD438" s="739"/>
      <c r="AE438" s="108"/>
    </row>
    <row r="439" spans="28:31" ht="15">
      <c r="AB439" s="1227"/>
      <c r="AC439" s="739"/>
      <c r="AD439" s="739"/>
      <c r="AE439" s="108"/>
    </row>
    <row r="440" spans="28:31" ht="15">
      <c r="AB440" s="1227"/>
      <c r="AC440" s="739"/>
      <c r="AD440" s="739"/>
      <c r="AE440" s="108"/>
    </row>
    <row r="441" spans="28:31" ht="15">
      <c r="AB441" s="1227"/>
      <c r="AC441" s="739"/>
      <c r="AD441" s="739"/>
      <c r="AE441" s="108"/>
    </row>
    <row r="442" spans="28:31" ht="15">
      <c r="AB442" s="1227"/>
      <c r="AC442" s="739"/>
      <c r="AD442" s="739"/>
      <c r="AE442" s="108"/>
    </row>
    <row r="443" spans="28:31" ht="15">
      <c r="AB443" s="1227"/>
      <c r="AC443" s="739"/>
      <c r="AD443" s="739"/>
      <c r="AE443" s="108"/>
    </row>
    <row r="444" spans="28:31" ht="15">
      <c r="AB444" s="1227"/>
      <c r="AC444" s="739"/>
      <c r="AD444" s="739"/>
      <c r="AE444" s="108"/>
    </row>
    <row r="445" spans="28:31" ht="15">
      <c r="AB445" s="1227"/>
      <c r="AC445" s="739"/>
      <c r="AD445" s="739"/>
      <c r="AE445" s="108"/>
    </row>
    <row r="446" spans="28:31" ht="15">
      <c r="AB446" s="1227"/>
      <c r="AC446" s="739"/>
      <c r="AD446" s="739"/>
      <c r="AE446" s="108"/>
    </row>
    <row r="447" spans="28:31" ht="15">
      <c r="AB447" s="1227"/>
      <c r="AC447" s="739"/>
      <c r="AD447" s="739"/>
      <c r="AE447" s="108"/>
    </row>
    <row r="448" spans="28:31" ht="15">
      <c r="AB448" s="1227"/>
      <c r="AC448" s="739"/>
      <c r="AD448" s="739"/>
      <c r="AE448" s="108"/>
    </row>
    <row r="449" spans="28:31" ht="15">
      <c r="AB449" s="1227"/>
      <c r="AC449" s="739"/>
      <c r="AD449" s="739"/>
      <c r="AE449" s="108"/>
    </row>
    <row r="450" spans="28:31" ht="15">
      <c r="AB450" s="1227"/>
      <c r="AC450" s="739"/>
      <c r="AD450" s="739"/>
      <c r="AE450" s="108"/>
    </row>
    <row r="451" spans="28:31" ht="15">
      <c r="AB451" s="1227"/>
      <c r="AC451" s="739"/>
      <c r="AD451" s="739"/>
      <c r="AE451" s="108"/>
    </row>
    <row r="452" spans="28:31" ht="15">
      <c r="AB452" s="1227"/>
      <c r="AC452" s="739"/>
      <c r="AD452" s="739"/>
      <c r="AE452" s="108"/>
    </row>
    <row r="453" spans="28:31" ht="15">
      <c r="AB453" s="1227"/>
      <c r="AC453" s="739"/>
      <c r="AD453" s="739"/>
      <c r="AE453" s="108"/>
    </row>
    <row r="454" spans="28:31" ht="15">
      <c r="AB454" s="1227"/>
      <c r="AC454" s="739"/>
      <c r="AD454" s="739"/>
      <c r="AE454" s="108"/>
    </row>
    <row r="455" spans="28:31" ht="15">
      <c r="AB455" s="1227"/>
      <c r="AC455" s="739"/>
      <c r="AD455" s="739"/>
      <c r="AE455" s="108"/>
    </row>
    <row r="456" spans="28:31" ht="15">
      <c r="AB456" s="1227"/>
      <c r="AC456" s="739"/>
      <c r="AD456" s="739"/>
      <c r="AE456" s="108"/>
    </row>
    <row r="457" spans="28:31" ht="15">
      <c r="AB457" s="1227"/>
      <c r="AC457" s="739"/>
      <c r="AD457" s="739"/>
      <c r="AE457" s="108"/>
    </row>
    <row r="458" spans="28:31" ht="15">
      <c r="AB458" s="1227"/>
      <c r="AC458" s="739"/>
      <c r="AD458" s="739"/>
      <c r="AE458" s="108"/>
    </row>
    <row r="459" spans="28:31" ht="15">
      <c r="AB459" s="1227"/>
      <c r="AC459" s="739"/>
      <c r="AD459" s="739"/>
      <c r="AE459" s="108"/>
    </row>
    <row r="460" spans="28:31" ht="15">
      <c r="AB460" s="1227"/>
      <c r="AC460" s="739"/>
      <c r="AD460" s="739"/>
      <c r="AE460" s="108"/>
    </row>
    <row r="461" spans="28:31" ht="15">
      <c r="AB461" s="1227"/>
      <c r="AC461" s="739"/>
      <c r="AD461" s="739"/>
      <c r="AE461" s="108"/>
    </row>
    <row r="462" spans="28:31" ht="15">
      <c r="AB462" s="1227"/>
      <c r="AC462" s="739"/>
      <c r="AD462" s="739"/>
      <c r="AE462" s="108"/>
    </row>
    <row r="463" spans="28:31" ht="15">
      <c r="AB463" s="1227"/>
      <c r="AC463" s="739"/>
      <c r="AD463" s="739"/>
      <c r="AE463" s="108"/>
    </row>
    <row r="464" spans="28:31" ht="15">
      <c r="AB464" s="1227"/>
      <c r="AC464" s="739"/>
      <c r="AD464" s="739"/>
      <c r="AE464" s="108"/>
    </row>
    <row r="465" spans="28:31" ht="15">
      <c r="AB465" s="1227"/>
      <c r="AC465" s="739"/>
      <c r="AD465" s="739"/>
      <c r="AE465" s="108"/>
    </row>
    <row r="466" spans="28:31" ht="15">
      <c r="AB466" s="1227"/>
      <c r="AC466" s="739"/>
      <c r="AD466" s="739"/>
      <c r="AE466" s="108"/>
    </row>
    <row r="467" spans="28:31" ht="15">
      <c r="AB467" s="1227"/>
      <c r="AC467" s="739"/>
      <c r="AD467" s="739"/>
      <c r="AE467" s="108"/>
    </row>
    <row r="468" spans="28:31" ht="15">
      <c r="AB468" s="1227"/>
      <c r="AC468" s="739"/>
      <c r="AD468" s="739"/>
      <c r="AE468" s="108"/>
    </row>
    <row r="469" spans="28:31" ht="15">
      <c r="AB469" s="1227"/>
      <c r="AC469" s="739"/>
      <c r="AD469" s="739"/>
      <c r="AE469" s="108"/>
    </row>
    <row r="470" spans="28:31" ht="15">
      <c r="AB470" s="1227"/>
      <c r="AC470" s="739"/>
      <c r="AD470" s="739"/>
      <c r="AE470" s="108"/>
    </row>
    <row r="471" spans="28:31" ht="15">
      <c r="AB471" s="1227"/>
      <c r="AC471" s="739"/>
      <c r="AD471" s="739"/>
      <c r="AE471" s="108"/>
    </row>
    <row r="472" spans="28:31" ht="15">
      <c r="AB472" s="1227"/>
      <c r="AC472" s="739"/>
      <c r="AD472" s="739"/>
      <c r="AE472" s="108"/>
    </row>
    <row r="473" spans="28:31" ht="15">
      <c r="AB473" s="1227"/>
      <c r="AC473" s="739"/>
      <c r="AD473" s="739"/>
      <c r="AE473" s="108"/>
    </row>
    <row r="474" spans="28:31" ht="15">
      <c r="AB474" s="1227"/>
      <c r="AC474" s="739"/>
      <c r="AD474" s="739"/>
      <c r="AE474" s="108"/>
    </row>
    <row r="475" spans="28:31" ht="15">
      <c r="AB475" s="1227"/>
      <c r="AC475" s="739"/>
      <c r="AD475" s="739"/>
      <c r="AE475" s="108"/>
    </row>
    <row r="476" spans="28:31" ht="15">
      <c r="AB476" s="1227"/>
      <c r="AC476" s="739"/>
      <c r="AD476" s="739"/>
      <c r="AE476" s="108"/>
    </row>
    <row r="477" spans="28:31" ht="15">
      <c r="AB477" s="1227"/>
      <c r="AC477" s="739"/>
      <c r="AD477" s="739"/>
      <c r="AE477" s="108"/>
    </row>
    <row r="478" spans="28:31" ht="15">
      <c r="AB478" s="1227"/>
      <c r="AC478" s="739"/>
      <c r="AD478" s="739"/>
      <c r="AE478" s="108"/>
    </row>
    <row r="479" spans="28:31" ht="15">
      <c r="AB479" s="1227"/>
      <c r="AC479" s="739"/>
      <c r="AD479" s="739"/>
      <c r="AE479" s="108"/>
    </row>
    <row r="480" spans="28:31" ht="15">
      <c r="AB480" s="1227"/>
      <c r="AC480" s="739"/>
      <c r="AD480" s="739"/>
      <c r="AE480" s="108"/>
    </row>
    <row r="481" spans="28:31" ht="15">
      <c r="AB481" s="1227"/>
      <c r="AC481" s="739"/>
      <c r="AD481" s="739"/>
      <c r="AE481" s="108"/>
    </row>
    <row r="482" spans="28:31" ht="15">
      <c r="AB482" s="1227"/>
      <c r="AC482" s="739"/>
      <c r="AD482" s="739"/>
      <c r="AE482" s="108"/>
    </row>
    <row r="483" spans="28:31" ht="15">
      <c r="AB483" s="1227"/>
      <c r="AC483" s="739"/>
      <c r="AD483" s="739"/>
      <c r="AE483" s="108"/>
    </row>
    <row r="484" spans="28:31" ht="15">
      <c r="AB484" s="1227"/>
      <c r="AC484" s="739"/>
      <c r="AD484" s="739"/>
      <c r="AE484" s="108"/>
    </row>
    <row r="485" spans="28:31" ht="15">
      <c r="AB485" s="1227"/>
      <c r="AC485" s="739"/>
      <c r="AD485" s="739"/>
      <c r="AE485" s="108"/>
    </row>
    <row r="486" spans="28:31" ht="15">
      <c r="AB486" s="1227"/>
      <c r="AC486" s="739"/>
      <c r="AD486" s="739"/>
      <c r="AE486" s="108"/>
    </row>
    <row r="487" spans="28:31" ht="15">
      <c r="AB487" s="1227"/>
      <c r="AC487" s="739"/>
      <c r="AD487" s="739"/>
      <c r="AE487" s="108"/>
    </row>
    <row r="488" spans="28:31" ht="15">
      <c r="AB488" s="1227"/>
      <c r="AC488" s="739"/>
      <c r="AD488" s="739"/>
      <c r="AE488" s="108"/>
    </row>
    <row r="489" spans="28:31" ht="15">
      <c r="AB489" s="1227"/>
      <c r="AC489" s="739"/>
      <c r="AD489" s="739"/>
      <c r="AE489" s="108"/>
    </row>
    <row r="490" spans="28:31" ht="15">
      <c r="AB490" s="1227"/>
      <c r="AC490" s="739"/>
      <c r="AD490" s="739"/>
      <c r="AE490" s="108"/>
    </row>
    <row r="491" spans="28:31" ht="15">
      <c r="AB491" s="1227"/>
      <c r="AC491" s="739"/>
      <c r="AD491" s="739"/>
      <c r="AE491" s="108"/>
    </row>
    <row r="492" spans="28:31" ht="15">
      <c r="AB492" s="1227"/>
      <c r="AC492" s="739"/>
      <c r="AD492" s="739"/>
      <c r="AE492" s="108"/>
    </row>
    <row r="493" spans="28:31" ht="15">
      <c r="AB493" s="1227"/>
      <c r="AC493" s="739"/>
      <c r="AD493" s="739"/>
      <c r="AE493" s="108"/>
    </row>
    <row r="494" spans="28:31" ht="15">
      <c r="AB494" s="1227"/>
      <c r="AC494" s="739"/>
      <c r="AD494" s="739"/>
      <c r="AE494" s="108"/>
    </row>
    <row r="495" spans="28:31" ht="15">
      <c r="AB495" s="1227"/>
      <c r="AC495" s="739"/>
      <c r="AD495" s="739"/>
      <c r="AE495" s="108"/>
    </row>
    <row r="496" spans="28:31" ht="15">
      <c r="AB496" s="1227"/>
      <c r="AC496" s="739"/>
      <c r="AD496" s="739"/>
      <c r="AE496" s="108"/>
    </row>
    <row r="497" spans="28:31" ht="15">
      <c r="AB497" s="1227"/>
      <c r="AC497" s="739"/>
      <c r="AD497" s="739"/>
      <c r="AE497" s="108"/>
    </row>
    <row r="498" spans="28:31" ht="15">
      <c r="AB498" s="1227"/>
      <c r="AC498" s="739"/>
      <c r="AD498" s="739"/>
      <c r="AE498" s="108"/>
    </row>
    <row r="499" spans="28:31" ht="15">
      <c r="AB499" s="1227"/>
      <c r="AC499" s="739"/>
      <c r="AD499" s="739"/>
      <c r="AE499" s="108"/>
    </row>
    <row r="500" spans="28:31" ht="15">
      <c r="AB500" s="1227"/>
      <c r="AC500" s="739"/>
      <c r="AD500" s="739"/>
      <c r="AE500" s="108"/>
    </row>
    <row r="501" spans="28:31" ht="15">
      <c r="AB501" s="1227"/>
      <c r="AC501" s="739"/>
      <c r="AD501" s="739"/>
      <c r="AE501" s="108"/>
    </row>
    <row r="502" spans="28:31" ht="15">
      <c r="AB502" s="1227"/>
      <c r="AC502" s="739"/>
      <c r="AD502" s="739"/>
      <c r="AE502" s="108"/>
    </row>
    <row r="503" spans="28:31" ht="15">
      <c r="AB503" s="1227"/>
      <c r="AC503" s="739"/>
      <c r="AD503" s="739"/>
      <c r="AE503" s="108"/>
    </row>
    <row r="504" spans="28:31" ht="15">
      <c r="AB504" s="1227"/>
      <c r="AC504" s="739"/>
      <c r="AD504" s="739"/>
      <c r="AE504" s="108"/>
    </row>
    <row r="505" spans="28:31" ht="15">
      <c r="AB505" s="1227"/>
      <c r="AC505" s="739"/>
      <c r="AD505" s="739"/>
      <c r="AE505" s="108"/>
    </row>
    <row r="506" spans="28:31" ht="15">
      <c r="AB506" s="1227"/>
      <c r="AC506" s="739"/>
      <c r="AD506" s="739"/>
      <c r="AE506" s="108"/>
    </row>
    <row r="507" spans="28:31" ht="15">
      <c r="AB507" s="1227"/>
      <c r="AC507" s="739"/>
      <c r="AD507" s="739"/>
      <c r="AE507" s="108"/>
    </row>
    <row r="508" spans="28:31" ht="15">
      <c r="AB508" s="1227"/>
      <c r="AC508" s="739"/>
      <c r="AD508" s="739"/>
      <c r="AE508" s="108"/>
    </row>
    <row r="509" spans="28:31" ht="15">
      <c r="AB509" s="1227"/>
      <c r="AC509" s="739"/>
      <c r="AD509" s="739"/>
      <c r="AE509" s="108"/>
    </row>
    <row r="510" spans="28:31" ht="15">
      <c r="AB510" s="1227"/>
      <c r="AC510" s="739"/>
      <c r="AD510" s="739"/>
      <c r="AE510" s="108"/>
    </row>
    <row r="511" spans="28:31" ht="15">
      <c r="AB511" s="1227"/>
      <c r="AC511" s="739"/>
      <c r="AD511" s="739"/>
      <c r="AE511" s="108"/>
    </row>
    <row r="512" spans="28:31" ht="15">
      <c r="AB512" s="1227"/>
      <c r="AC512" s="739"/>
      <c r="AD512" s="739"/>
      <c r="AE512" s="108"/>
    </row>
    <row r="513" spans="28:31" ht="15">
      <c r="AB513" s="1227"/>
      <c r="AC513" s="739"/>
      <c r="AD513" s="739"/>
      <c r="AE513" s="108"/>
    </row>
    <row r="514" spans="28:31" ht="15">
      <c r="AB514" s="1227"/>
      <c r="AC514" s="739"/>
      <c r="AD514" s="739"/>
      <c r="AE514" s="108"/>
    </row>
    <row r="515" spans="28:31" ht="15">
      <c r="AB515" s="1227"/>
      <c r="AC515" s="739"/>
      <c r="AD515" s="739"/>
      <c r="AE515" s="108"/>
    </row>
    <row r="516" spans="28:31" ht="15">
      <c r="AB516" s="1227"/>
      <c r="AC516" s="739"/>
      <c r="AD516" s="739"/>
      <c r="AE516" s="108"/>
    </row>
    <row r="517" spans="28:31" ht="15">
      <c r="AB517" s="1227"/>
      <c r="AC517" s="739"/>
      <c r="AD517" s="739"/>
      <c r="AE517" s="108"/>
    </row>
    <row r="518" spans="28:31" ht="15">
      <c r="AB518" s="1227"/>
      <c r="AC518" s="739"/>
      <c r="AD518" s="739"/>
      <c r="AE518" s="108"/>
    </row>
    <row r="519" spans="28:31" ht="15">
      <c r="AB519" s="1227"/>
      <c r="AC519" s="739"/>
      <c r="AD519" s="739"/>
      <c r="AE519" s="108"/>
    </row>
    <row r="520" spans="28:31" ht="15">
      <c r="AB520" s="1227"/>
      <c r="AC520" s="739"/>
      <c r="AD520" s="739"/>
      <c r="AE520" s="108"/>
    </row>
    <row r="521" spans="28:31" ht="15">
      <c r="AB521" s="1227"/>
      <c r="AC521" s="739"/>
      <c r="AD521" s="739"/>
      <c r="AE521" s="108"/>
    </row>
    <row r="522" spans="28:31" ht="15">
      <c r="AB522" s="1227"/>
      <c r="AC522" s="739"/>
      <c r="AD522" s="739"/>
      <c r="AE522" s="108"/>
    </row>
    <row r="523" spans="28:31" ht="15">
      <c r="AB523" s="1227"/>
      <c r="AC523" s="739"/>
      <c r="AD523" s="739"/>
      <c r="AE523" s="108"/>
    </row>
    <row r="524" spans="28:31" ht="15">
      <c r="AB524" s="1227"/>
      <c r="AC524" s="739"/>
      <c r="AD524" s="739"/>
      <c r="AE524" s="108"/>
    </row>
    <row r="525" spans="28:31" ht="15">
      <c r="AB525" s="1227"/>
      <c r="AC525" s="739"/>
      <c r="AD525" s="739"/>
      <c r="AE525" s="108"/>
    </row>
    <row r="526" spans="28:31" ht="15">
      <c r="AB526" s="1227"/>
      <c r="AC526" s="739"/>
      <c r="AD526" s="739"/>
      <c r="AE526" s="108"/>
    </row>
    <row r="527" spans="28:31" ht="15">
      <c r="AB527" s="1227"/>
      <c r="AC527" s="739"/>
      <c r="AD527" s="739"/>
      <c r="AE527" s="108"/>
    </row>
    <row r="528" spans="28:31" ht="15">
      <c r="AB528" s="1227"/>
      <c r="AC528" s="739"/>
      <c r="AD528" s="739"/>
      <c r="AE528" s="108"/>
    </row>
    <row r="529" spans="28:31" ht="15">
      <c r="AB529" s="1227"/>
      <c r="AC529" s="739"/>
      <c r="AD529" s="739"/>
      <c r="AE529" s="108"/>
    </row>
    <row r="530" spans="28:31" ht="15">
      <c r="AB530" s="1227"/>
      <c r="AC530" s="739"/>
      <c r="AD530" s="739"/>
      <c r="AE530" s="108"/>
    </row>
    <row r="531" spans="28:31" ht="15">
      <c r="AB531" s="1227"/>
      <c r="AC531" s="739"/>
      <c r="AD531" s="739"/>
      <c r="AE531" s="108"/>
    </row>
    <row r="532" spans="28:31" ht="15">
      <c r="AB532" s="1227"/>
      <c r="AC532" s="739"/>
      <c r="AD532" s="739"/>
      <c r="AE532" s="108"/>
    </row>
    <row r="533" spans="28:31" ht="15">
      <c r="AB533" s="1227"/>
      <c r="AC533" s="739"/>
      <c r="AD533" s="739"/>
      <c r="AE533" s="108"/>
    </row>
    <row r="534" spans="28:31" ht="15">
      <c r="AB534" s="1227"/>
      <c r="AC534" s="739"/>
      <c r="AD534" s="739"/>
      <c r="AE534" s="108"/>
    </row>
    <row r="535" spans="28:31" ht="15">
      <c r="AB535" s="1227"/>
      <c r="AC535" s="739"/>
      <c r="AD535" s="739"/>
      <c r="AE535" s="108"/>
    </row>
    <row r="536" spans="28:31" ht="15">
      <c r="AB536" s="1227"/>
      <c r="AC536" s="739"/>
      <c r="AD536" s="739"/>
      <c r="AE536" s="108"/>
    </row>
    <row r="537" spans="28:31" ht="15">
      <c r="AB537" s="1227"/>
      <c r="AC537" s="739"/>
      <c r="AD537" s="739"/>
      <c r="AE537" s="108"/>
    </row>
    <row r="538" spans="28:31" ht="15">
      <c r="AB538" s="1227"/>
      <c r="AC538" s="739"/>
      <c r="AD538" s="739"/>
      <c r="AE538" s="108"/>
    </row>
    <row r="539" spans="28:31" ht="15">
      <c r="AB539" s="1227"/>
      <c r="AC539" s="739"/>
      <c r="AD539" s="739"/>
      <c r="AE539" s="108"/>
    </row>
    <row r="540" spans="28:31" ht="15">
      <c r="AB540" s="1227"/>
      <c r="AC540" s="739"/>
      <c r="AD540" s="739"/>
      <c r="AE540" s="108"/>
    </row>
    <row r="541" spans="28:31" ht="15">
      <c r="AB541" s="1227"/>
      <c r="AC541" s="739"/>
      <c r="AD541" s="739"/>
      <c r="AE541" s="108"/>
    </row>
    <row r="542" spans="28:31" ht="15">
      <c r="AB542" s="1227"/>
      <c r="AC542" s="739"/>
      <c r="AD542" s="739"/>
      <c r="AE542" s="108"/>
    </row>
    <row r="543" spans="28:31" ht="15">
      <c r="AB543" s="1227"/>
      <c r="AC543" s="739"/>
      <c r="AD543" s="739"/>
      <c r="AE543" s="108"/>
    </row>
    <row r="544" spans="28:31" ht="15">
      <c r="AB544" s="1227"/>
      <c r="AC544" s="739"/>
      <c r="AD544" s="739"/>
      <c r="AE544" s="108"/>
    </row>
    <row r="545" spans="28:31" ht="15">
      <c r="AB545" s="1227"/>
      <c r="AC545" s="739"/>
      <c r="AD545" s="739"/>
      <c r="AE545" s="108"/>
    </row>
    <row r="546" spans="28:31" ht="15">
      <c r="AB546" s="1227"/>
      <c r="AC546" s="739"/>
      <c r="AD546" s="739"/>
      <c r="AE546" s="108"/>
    </row>
    <row r="547" spans="28:31" ht="15">
      <c r="AB547" s="1227"/>
      <c r="AC547" s="739"/>
      <c r="AD547" s="739"/>
      <c r="AE547" s="108"/>
    </row>
    <row r="548" spans="28:31" ht="15">
      <c r="AB548" s="1227"/>
      <c r="AC548" s="739"/>
      <c r="AD548" s="739"/>
      <c r="AE548" s="108"/>
    </row>
    <row r="549" spans="28:31" ht="15">
      <c r="AB549" s="1227"/>
      <c r="AC549" s="739"/>
      <c r="AD549" s="739"/>
      <c r="AE549" s="108"/>
    </row>
    <row r="550" spans="28:31" ht="15">
      <c r="AB550" s="1227"/>
      <c r="AC550" s="739"/>
      <c r="AD550" s="739"/>
      <c r="AE550" s="108"/>
    </row>
    <row r="551" spans="28:31" ht="15">
      <c r="AB551" s="1227"/>
      <c r="AC551" s="739"/>
      <c r="AD551" s="739"/>
      <c r="AE551" s="108"/>
    </row>
    <row r="552" spans="28:31" ht="15">
      <c r="AB552" s="1227"/>
      <c r="AC552" s="739"/>
      <c r="AD552" s="739"/>
      <c r="AE552" s="108"/>
    </row>
    <row r="553" spans="28:31" ht="15">
      <c r="AB553" s="1227"/>
      <c r="AC553" s="739"/>
      <c r="AD553" s="739"/>
      <c r="AE553" s="108"/>
    </row>
    <row r="554" spans="28:31" ht="15">
      <c r="AB554" s="1227"/>
      <c r="AC554" s="739"/>
      <c r="AD554" s="739"/>
      <c r="AE554" s="108"/>
    </row>
    <row r="555" spans="28:31" ht="15">
      <c r="AB555" s="1227"/>
      <c r="AC555" s="739"/>
      <c r="AD555" s="739"/>
      <c r="AE555" s="108"/>
    </row>
    <row r="556" spans="28:31" ht="15">
      <c r="AB556" s="1227"/>
      <c r="AC556" s="739"/>
      <c r="AD556" s="739"/>
      <c r="AE556" s="108"/>
    </row>
    <row r="557" spans="28:31" ht="15">
      <c r="AB557" s="1227"/>
      <c r="AC557" s="739"/>
      <c r="AD557" s="739"/>
      <c r="AE557" s="108"/>
    </row>
    <row r="558" spans="28:31" ht="15">
      <c r="AB558" s="1227"/>
      <c r="AC558" s="739"/>
      <c r="AD558" s="739"/>
      <c r="AE558" s="108"/>
    </row>
    <row r="559" spans="28:31" ht="15">
      <c r="AB559" s="1227"/>
      <c r="AC559" s="739"/>
      <c r="AD559" s="739"/>
      <c r="AE559" s="108"/>
    </row>
    <row r="560" spans="28:31" ht="15">
      <c r="AB560" s="1227"/>
      <c r="AC560" s="739"/>
      <c r="AD560" s="739"/>
      <c r="AE560" s="108"/>
    </row>
    <row r="561" spans="28:31" ht="15">
      <c r="AB561" s="1227"/>
      <c r="AC561" s="739"/>
      <c r="AD561" s="739"/>
      <c r="AE561" s="108"/>
    </row>
    <row r="562" spans="28:31" ht="15">
      <c r="AB562" s="1227"/>
      <c r="AC562" s="739"/>
      <c r="AD562" s="739"/>
      <c r="AE562" s="108"/>
    </row>
    <row r="563" spans="28:31" ht="15">
      <c r="AB563" s="1227"/>
      <c r="AC563" s="739"/>
      <c r="AD563" s="739"/>
      <c r="AE563" s="108"/>
    </row>
    <row r="564" spans="28:31" ht="15">
      <c r="AB564" s="1227"/>
      <c r="AC564" s="739"/>
      <c r="AD564" s="739"/>
      <c r="AE564" s="108"/>
    </row>
    <row r="565" spans="28:31" ht="15">
      <c r="AB565" s="1227"/>
      <c r="AC565" s="739"/>
      <c r="AD565" s="739"/>
      <c r="AE565" s="108"/>
    </row>
    <row r="566" spans="28:31" ht="15">
      <c r="AB566" s="1227"/>
      <c r="AC566" s="739"/>
      <c r="AD566" s="739"/>
      <c r="AE566" s="108"/>
    </row>
    <row r="567" spans="28:31" ht="15">
      <c r="AB567" s="1227"/>
      <c r="AC567" s="739"/>
      <c r="AD567" s="739"/>
      <c r="AE567" s="108"/>
    </row>
    <row r="568" spans="28:31" ht="15">
      <c r="AB568" s="1227"/>
      <c r="AC568" s="739"/>
      <c r="AD568" s="739"/>
      <c r="AE568" s="108"/>
    </row>
    <row r="569" spans="28:31" ht="15">
      <c r="AB569" s="1227"/>
      <c r="AC569" s="739"/>
      <c r="AD569" s="739"/>
      <c r="AE569" s="108"/>
    </row>
    <row r="570" spans="28:31" ht="15">
      <c r="AB570" s="1227"/>
      <c r="AC570" s="739"/>
      <c r="AD570" s="739"/>
      <c r="AE570" s="108"/>
    </row>
    <row r="571" spans="28:31" ht="15">
      <c r="AB571" s="1227"/>
      <c r="AC571" s="739"/>
      <c r="AD571" s="739"/>
      <c r="AE571" s="108"/>
    </row>
    <row r="572" spans="28:31" ht="15">
      <c r="AB572" s="1227"/>
      <c r="AC572" s="739"/>
      <c r="AD572" s="739"/>
      <c r="AE572" s="108"/>
    </row>
    <row r="573" spans="28:31" ht="15">
      <c r="AB573" s="1227"/>
      <c r="AC573" s="739"/>
      <c r="AD573" s="739"/>
      <c r="AE573" s="108"/>
    </row>
    <row r="574" spans="28:31" ht="15">
      <c r="AB574" s="1227"/>
      <c r="AC574" s="739"/>
      <c r="AD574" s="739"/>
      <c r="AE574" s="108"/>
    </row>
    <row r="575" spans="28:31" ht="15">
      <c r="AB575" s="1227"/>
      <c r="AC575" s="739"/>
      <c r="AD575" s="739"/>
      <c r="AE575" s="108"/>
    </row>
    <row r="576" spans="28:31" ht="15">
      <c r="AB576" s="1227"/>
      <c r="AC576" s="739"/>
      <c r="AD576" s="739"/>
      <c r="AE576" s="108"/>
    </row>
    <row r="577" spans="28:31" ht="15">
      <c r="AB577" s="1227"/>
      <c r="AC577" s="739"/>
      <c r="AD577" s="739"/>
      <c r="AE577" s="108"/>
    </row>
    <row r="578" spans="28:31" ht="15">
      <c r="AB578" s="1227"/>
      <c r="AC578" s="739"/>
      <c r="AD578" s="739"/>
      <c r="AE578" s="108"/>
    </row>
    <row r="579" spans="28:31" ht="15">
      <c r="AB579" s="1227"/>
      <c r="AC579" s="739"/>
      <c r="AD579" s="739"/>
      <c r="AE579" s="108"/>
    </row>
    <row r="580" spans="28:31" ht="15">
      <c r="AB580" s="1227"/>
      <c r="AC580" s="739"/>
      <c r="AD580" s="739"/>
      <c r="AE580" s="108"/>
    </row>
    <row r="581" spans="28:31" ht="15">
      <c r="AB581" s="1227"/>
      <c r="AC581" s="739"/>
      <c r="AD581" s="739"/>
      <c r="AE581" s="108"/>
    </row>
    <row r="582" spans="28:31" ht="15">
      <c r="AB582" s="1227"/>
      <c r="AC582" s="739"/>
      <c r="AD582" s="739"/>
      <c r="AE582" s="108"/>
    </row>
    <row r="583" spans="28:31" ht="15">
      <c r="AB583" s="1227"/>
      <c r="AC583" s="739"/>
      <c r="AD583" s="739"/>
      <c r="AE583" s="108"/>
    </row>
    <row r="584" spans="28:31" ht="15">
      <c r="AB584" s="1227"/>
      <c r="AC584" s="739"/>
      <c r="AD584" s="739"/>
      <c r="AE584" s="108"/>
    </row>
    <row r="585" spans="28:31" ht="15">
      <c r="AB585" s="1227"/>
      <c r="AC585" s="739"/>
      <c r="AD585" s="739"/>
      <c r="AE585" s="108"/>
    </row>
    <row r="586" spans="28:31" ht="15">
      <c r="AB586" s="1227"/>
      <c r="AC586" s="739"/>
      <c r="AD586" s="739"/>
      <c r="AE586" s="108"/>
    </row>
    <row r="587" spans="28:31" ht="15">
      <c r="AB587" s="1227"/>
      <c r="AC587" s="739"/>
      <c r="AD587" s="739"/>
      <c r="AE587" s="108"/>
    </row>
    <row r="588" spans="28:31" ht="15">
      <c r="AB588" s="1227"/>
      <c r="AC588" s="739"/>
      <c r="AD588" s="739"/>
      <c r="AE588" s="108"/>
    </row>
    <row r="589" spans="28:31" ht="15">
      <c r="AB589" s="1227"/>
      <c r="AC589" s="739"/>
      <c r="AD589" s="739"/>
      <c r="AE589" s="108"/>
    </row>
    <row r="590" spans="28:31" ht="15">
      <c r="AB590" s="1227"/>
      <c r="AC590" s="739"/>
      <c r="AD590" s="739"/>
      <c r="AE590" s="108"/>
    </row>
    <row r="591" spans="28:31" ht="15">
      <c r="AB591" s="1227"/>
      <c r="AC591" s="739"/>
      <c r="AD591" s="739"/>
      <c r="AE591" s="108"/>
    </row>
    <row r="592" spans="28:31" ht="15">
      <c r="AB592" s="1227"/>
      <c r="AC592" s="739"/>
      <c r="AD592" s="739"/>
      <c r="AE592" s="108"/>
    </row>
    <row r="593" spans="28:31" ht="15">
      <c r="AB593" s="1227"/>
      <c r="AC593" s="739"/>
      <c r="AD593" s="739"/>
      <c r="AE593" s="108"/>
    </row>
    <row r="594" spans="28:31" ht="15">
      <c r="AB594" s="1227"/>
      <c r="AC594" s="739"/>
      <c r="AD594" s="739"/>
      <c r="AE594" s="108"/>
    </row>
    <row r="595" spans="28:31" ht="15">
      <c r="AB595" s="1227"/>
      <c r="AC595" s="739"/>
      <c r="AD595" s="739"/>
      <c r="AE595" s="108"/>
    </row>
    <row r="596" spans="28:31" ht="15">
      <c r="AB596" s="1227"/>
      <c r="AC596" s="739"/>
      <c r="AD596" s="739"/>
      <c r="AE596" s="108"/>
    </row>
    <row r="597" spans="28:31" ht="15">
      <c r="AB597" s="1227"/>
      <c r="AC597" s="739"/>
      <c r="AD597" s="739"/>
      <c r="AE597" s="108"/>
    </row>
    <row r="598" spans="28:31" ht="15">
      <c r="AB598" s="1227"/>
      <c r="AC598" s="739"/>
      <c r="AD598" s="739"/>
      <c r="AE598" s="108"/>
    </row>
    <row r="599" spans="28:31" ht="15">
      <c r="AB599" s="1227"/>
      <c r="AC599" s="739"/>
      <c r="AD599" s="739"/>
      <c r="AE599" s="108"/>
    </row>
    <row r="600" spans="28:31" ht="15">
      <c r="AB600" s="1227"/>
      <c r="AC600" s="739"/>
      <c r="AD600" s="739"/>
      <c r="AE600" s="108"/>
    </row>
    <row r="601" spans="28:31" ht="15">
      <c r="AB601" s="1227"/>
      <c r="AC601" s="739"/>
      <c r="AD601" s="739"/>
      <c r="AE601" s="108"/>
    </row>
    <row r="602" spans="28:31" ht="15">
      <c r="AB602" s="1227"/>
      <c r="AC602" s="739"/>
      <c r="AD602" s="739"/>
      <c r="AE602" s="108"/>
    </row>
    <row r="603" spans="28:31" ht="15">
      <c r="AB603" s="1227"/>
      <c r="AC603" s="739"/>
      <c r="AD603" s="739"/>
      <c r="AE603" s="108"/>
    </row>
    <row r="604" spans="28:31" ht="15">
      <c r="AB604" s="1227"/>
      <c r="AC604" s="739"/>
      <c r="AD604" s="739"/>
      <c r="AE604" s="108"/>
    </row>
    <row r="605" spans="28:31" ht="15">
      <c r="AB605" s="1227"/>
      <c r="AC605" s="739"/>
      <c r="AD605" s="739"/>
      <c r="AE605" s="108"/>
    </row>
    <row r="606" spans="28:31" ht="15">
      <c r="AB606" s="1227"/>
      <c r="AC606" s="739"/>
      <c r="AD606" s="739"/>
      <c r="AE606" s="108"/>
    </row>
    <row r="607" spans="28:31" ht="15">
      <c r="AB607" s="1227"/>
      <c r="AC607" s="739"/>
      <c r="AD607" s="739"/>
      <c r="AE607" s="108"/>
    </row>
    <row r="608" spans="28:31" ht="15">
      <c r="AB608" s="1227"/>
      <c r="AC608" s="739"/>
      <c r="AD608" s="739"/>
      <c r="AE608" s="108"/>
    </row>
    <row r="609" spans="28:31" ht="15">
      <c r="AB609" s="1227"/>
      <c r="AC609" s="739"/>
      <c r="AD609" s="739"/>
      <c r="AE609" s="108"/>
    </row>
    <row r="610" spans="28:31" ht="15">
      <c r="AB610" s="1227"/>
      <c r="AC610" s="739"/>
      <c r="AD610" s="739"/>
      <c r="AE610" s="108"/>
    </row>
    <row r="611" spans="28:31" ht="15">
      <c r="AB611" s="1227"/>
      <c r="AC611" s="739"/>
      <c r="AD611" s="739"/>
      <c r="AE611" s="108"/>
    </row>
    <row r="612" spans="28:31" ht="15">
      <c r="AB612" s="1227"/>
      <c r="AC612" s="739"/>
      <c r="AD612" s="739"/>
      <c r="AE612" s="108"/>
    </row>
    <row r="613" spans="28:31" ht="15">
      <c r="AB613" s="1227"/>
      <c r="AC613" s="739"/>
      <c r="AD613" s="739"/>
      <c r="AE613" s="108"/>
    </row>
    <row r="614" spans="28:31" ht="15">
      <c r="AB614" s="1227"/>
      <c r="AC614" s="739"/>
      <c r="AD614" s="739"/>
      <c r="AE614" s="108"/>
    </row>
    <row r="615" spans="28:31" ht="15">
      <c r="AB615" s="1227"/>
      <c r="AC615" s="739"/>
      <c r="AD615" s="739"/>
      <c r="AE615" s="108"/>
    </row>
    <row r="616" spans="28:31" ht="15">
      <c r="AB616" s="1227"/>
      <c r="AC616" s="739"/>
      <c r="AD616" s="739"/>
      <c r="AE616" s="108"/>
    </row>
    <row r="617" spans="28:31" ht="15">
      <c r="AB617" s="1227"/>
      <c r="AC617" s="739"/>
      <c r="AD617" s="739"/>
      <c r="AE617" s="108"/>
    </row>
    <row r="618" spans="28:31" ht="15">
      <c r="AB618" s="1227"/>
      <c r="AC618" s="739"/>
      <c r="AD618" s="739"/>
      <c r="AE618" s="108"/>
    </row>
    <row r="619" spans="28:31" ht="15">
      <c r="AB619" s="1227"/>
      <c r="AC619" s="739"/>
      <c r="AD619" s="739"/>
      <c r="AE619" s="108"/>
    </row>
    <row r="620" spans="28:31" ht="15">
      <c r="AB620" s="1227"/>
      <c r="AC620" s="739"/>
      <c r="AD620" s="739"/>
      <c r="AE620" s="108"/>
    </row>
    <row r="621" spans="28:31" ht="15">
      <c r="AB621" s="1227"/>
      <c r="AC621" s="739"/>
      <c r="AD621" s="739"/>
      <c r="AE621" s="108"/>
    </row>
    <row r="622" spans="28:31" ht="15">
      <c r="AB622" s="1227"/>
      <c r="AC622" s="739"/>
      <c r="AD622" s="739"/>
      <c r="AE622" s="108"/>
    </row>
    <row r="623" spans="28:31" ht="15">
      <c r="AB623" s="1227"/>
      <c r="AC623" s="739"/>
      <c r="AD623" s="739"/>
      <c r="AE623" s="108"/>
    </row>
    <row r="624" spans="28:31" ht="15">
      <c r="AB624" s="1227"/>
      <c r="AC624" s="739"/>
      <c r="AD624" s="739"/>
      <c r="AE624" s="108"/>
    </row>
    <row r="625" spans="28:31" ht="15">
      <c r="AB625" s="1227"/>
      <c r="AC625" s="739"/>
      <c r="AD625" s="739"/>
      <c r="AE625" s="108"/>
    </row>
    <row r="626" spans="28:31" ht="15">
      <c r="AB626" s="1227"/>
      <c r="AC626" s="739"/>
      <c r="AD626" s="739"/>
      <c r="AE626" s="108"/>
    </row>
    <row r="627" spans="28:31" ht="15">
      <c r="AB627" s="1227"/>
      <c r="AC627" s="739"/>
      <c r="AD627" s="739"/>
      <c r="AE627" s="108"/>
    </row>
    <row r="628" spans="28:31" ht="15">
      <c r="AB628" s="1227"/>
      <c r="AC628" s="739"/>
      <c r="AD628" s="739"/>
      <c r="AE628" s="108"/>
    </row>
    <row r="629" spans="28:31" ht="15">
      <c r="AB629" s="1227"/>
      <c r="AC629" s="739"/>
      <c r="AD629" s="739"/>
      <c r="AE629" s="108"/>
    </row>
    <row r="630" spans="28:31" ht="15">
      <c r="AB630" s="1227"/>
      <c r="AC630" s="739"/>
      <c r="AD630" s="739"/>
      <c r="AE630" s="108"/>
    </row>
    <row r="631" spans="28:31" ht="15">
      <c r="AB631" s="1227"/>
      <c r="AC631" s="739"/>
      <c r="AD631" s="739"/>
      <c r="AE631" s="108"/>
    </row>
    <row r="632" spans="28:31" ht="15">
      <c r="AB632" s="1227"/>
      <c r="AC632" s="739"/>
      <c r="AD632" s="739"/>
      <c r="AE632" s="108"/>
    </row>
    <row r="633" spans="28:31" ht="15">
      <c r="AB633" s="1227"/>
      <c r="AC633" s="739"/>
      <c r="AD633" s="739"/>
      <c r="AE633" s="108"/>
    </row>
    <row r="634" spans="28:31" ht="15">
      <c r="AB634" s="1227"/>
      <c r="AC634" s="739"/>
      <c r="AD634" s="739"/>
      <c r="AE634" s="108"/>
    </row>
    <row r="635" spans="28:31" ht="15">
      <c r="AB635" s="1227"/>
      <c r="AC635" s="739"/>
      <c r="AD635" s="739"/>
      <c r="AE635" s="108"/>
    </row>
    <row r="636" spans="28:31" ht="15">
      <c r="AB636" s="1227"/>
      <c r="AC636" s="739"/>
      <c r="AD636" s="739"/>
      <c r="AE636" s="108"/>
    </row>
    <row r="637" spans="28:31" ht="15">
      <c r="AB637" s="1227"/>
      <c r="AC637" s="739"/>
      <c r="AD637" s="739"/>
      <c r="AE637" s="108"/>
    </row>
    <row r="638" spans="28:31" ht="15">
      <c r="AB638" s="1227"/>
      <c r="AC638" s="739"/>
      <c r="AD638" s="739"/>
      <c r="AE638" s="108"/>
    </row>
    <row r="639" spans="28:31" ht="15">
      <c r="AB639" s="1227"/>
      <c r="AC639" s="739"/>
      <c r="AD639" s="739"/>
      <c r="AE639" s="108"/>
    </row>
    <row r="640" spans="28:31" ht="15">
      <c r="AB640" s="1227"/>
      <c r="AC640" s="739"/>
      <c r="AD640" s="739"/>
      <c r="AE640" s="108"/>
    </row>
    <row r="641" spans="28:31" ht="15">
      <c r="AB641" s="1227"/>
      <c r="AC641" s="739"/>
      <c r="AD641" s="739"/>
      <c r="AE641" s="108"/>
    </row>
    <row r="642" spans="28:31" ht="15">
      <c r="AB642" s="1227"/>
      <c r="AC642" s="739"/>
      <c r="AD642" s="739"/>
      <c r="AE642" s="108"/>
    </row>
    <row r="643" spans="28:31" ht="15">
      <c r="AB643" s="1227"/>
      <c r="AC643" s="739"/>
      <c r="AD643" s="739"/>
      <c r="AE643" s="108"/>
    </row>
    <row r="644" spans="28:31" ht="15">
      <c r="AB644" s="1227"/>
      <c r="AC644" s="739"/>
      <c r="AD644" s="739"/>
      <c r="AE644" s="108"/>
    </row>
    <row r="645" spans="28:31" ht="15">
      <c r="AB645" s="1227"/>
      <c r="AC645" s="739"/>
      <c r="AD645" s="739"/>
      <c r="AE645" s="108"/>
    </row>
    <row r="646" spans="28:31" ht="15">
      <c r="AB646" s="1227"/>
      <c r="AC646" s="739"/>
      <c r="AD646" s="739"/>
      <c r="AE646" s="108"/>
    </row>
    <row r="647" spans="28:31" ht="15">
      <c r="AB647" s="1227"/>
      <c r="AC647" s="739"/>
      <c r="AD647" s="739"/>
      <c r="AE647" s="108"/>
    </row>
    <row r="648" spans="28:31" ht="15">
      <c r="AB648" s="1227"/>
      <c r="AC648" s="739"/>
      <c r="AD648" s="739"/>
      <c r="AE648" s="108"/>
    </row>
    <row r="649" spans="28:31" ht="15">
      <c r="AB649" s="1227"/>
      <c r="AC649" s="739"/>
      <c r="AD649" s="739"/>
      <c r="AE649" s="108"/>
    </row>
    <row r="650" spans="28:31" ht="15">
      <c r="AB650" s="1227"/>
      <c r="AC650" s="739"/>
      <c r="AD650" s="739"/>
      <c r="AE650" s="108"/>
    </row>
    <row r="651" spans="28:31" ht="15">
      <c r="AB651" s="1227"/>
      <c r="AC651" s="739"/>
      <c r="AD651" s="739"/>
      <c r="AE651" s="108"/>
    </row>
    <row r="652" spans="28:31" ht="15">
      <c r="AB652" s="1227"/>
      <c r="AC652" s="739"/>
      <c r="AD652" s="739"/>
      <c r="AE652" s="108"/>
    </row>
    <row r="653" spans="28:31" ht="15">
      <c r="AB653" s="1227"/>
      <c r="AC653" s="739"/>
      <c r="AD653" s="739"/>
      <c r="AE653" s="108"/>
    </row>
    <row r="654" spans="28:31" ht="15">
      <c r="AB654" s="1227"/>
      <c r="AC654" s="739"/>
      <c r="AD654" s="739"/>
      <c r="AE654" s="108"/>
    </row>
    <row r="655" spans="28:31" ht="15">
      <c r="AB655" s="1227"/>
      <c r="AC655" s="739"/>
      <c r="AD655" s="739"/>
      <c r="AE655" s="108"/>
    </row>
    <row r="656" spans="28:31" ht="15">
      <c r="AB656" s="1227"/>
      <c r="AC656" s="739"/>
      <c r="AD656" s="739"/>
      <c r="AE656" s="108"/>
    </row>
    <row r="657" spans="28:31" ht="15">
      <c r="AB657" s="1227"/>
      <c r="AC657" s="739"/>
      <c r="AD657" s="739"/>
      <c r="AE657" s="108"/>
    </row>
    <row r="658" spans="28:31" ht="15">
      <c r="AB658" s="1227"/>
      <c r="AC658" s="739"/>
      <c r="AD658" s="739"/>
      <c r="AE658" s="108"/>
    </row>
    <row r="659" spans="28:31" ht="15">
      <c r="AB659" s="1227"/>
      <c r="AC659" s="739"/>
      <c r="AD659" s="739"/>
      <c r="AE659" s="108"/>
    </row>
    <row r="660" spans="28:31" ht="15">
      <c r="AB660" s="1227"/>
      <c r="AC660" s="739"/>
      <c r="AD660" s="739"/>
      <c r="AE660" s="108"/>
    </row>
    <row r="661" spans="28:31" ht="15">
      <c r="AB661" s="1227"/>
      <c r="AC661" s="739"/>
      <c r="AD661" s="739"/>
      <c r="AE661" s="108"/>
    </row>
    <row r="662" spans="28:31" ht="15">
      <c r="AB662" s="1227"/>
      <c r="AC662" s="739"/>
      <c r="AD662" s="739"/>
      <c r="AE662" s="108"/>
    </row>
    <row r="663" spans="28:31" ht="15">
      <c r="AB663" s="1227"/>
      <c r="AC663" s="739"/>
      <c r="AD663" s="739"/>
      <c r="AE663" s="108"/>
    </row>
    <row r="664" spans="28:31" ht="15">
      <c r="AB664" s="1227"/>
      <c r="AC664" s="739"/>
      <c r="AD664" s="739"/>
      <c r="AE664" s="108"/>
    </row>
    <row r="665" spans="28:31" ht="15">
      <c r="AB665" s="1227"/>
      <c r="AC665" s="739"/>
      <c r="AD665" s="739"/>
      <c r="AE665" s="108"/>
    </row>
    <row r="666" spans="28:31" ht="15">
      <c r="AB666" s="1227"/>
      <c r="AC666" s="739"/>
      <c r="AD666" s="739"/>
      <c r="AE666" s="108"/>
    </row>
    <row r="667" spans="28:31" ht="15">
      <c r="AB667" s="1227"/>
      <c r="AC667" s="739"/>
      <c r="AD667" s="739"/>
      <c r="AE667" s="108"/>
    </row>
    <row r="668" spans="28:31" ht="15">
      <c r="AB668" s="1227"/>
      <c r="AC668" s="739"/>
      <c r="AD668" s="739"/>
      <c r="AE668" s="108"/>
    </row>
    <row r="669" spans="28:31" ht="15">
      <c r="AB669" s="1227"/>
      <c r="AC669" s="739"/>
      <c r="AD669" s="739"/>
      <c r="AE669" s="108"/>
    </row>
    <row r="670" spans="28:31" ht="15">
      <c r="AB670" s="1227"/>
      <c r="AC670" s="739"/>
      <c r="AD670" s="739"/>
      <c r="AE670" s="108"/>
    </row>
    <row r="671" spans="28:31" ht="15">
      <c r="AB671" s="1227"/>
      <c r="AC671" s="739"/>
      <c r="AD671" s="739"/>
      <c r="AE671" s="108"/>
    </row>
    <row r="672" spans="28:31" ht="15">
      <c r="AB672" s="1227"/>
      <c r="AC672" s="739"/>
      <c r="AD672" s="739"/>
      <c r="AE672" s="108"/>
    </row>
    <row r="673" spans="28:31" ht="15">
      <c r="AB673" s="1227"/>
      <c r="AC673" s="739"/>
      <c r="AD673" s="739"/>
      <c r="AE673" s="108"/>
    </row>
    <row r="674" spans="28:31" ht="15">
      <c r="AB674" s="1227"/>
      <c r="AC674" s="739"/>
      <c r="AD674" s="739"/>
      <c r="AE674" s="108"/>
    </row>
    <row r="675" spans="28:31" ht="15">
      <c r="AB675" s="1227"/>
      <c r="AC675" s="739"/>
      <c r="AD675" s="739"/>
      <c r="AE675" s="108"/>
    </row>
    <row r="676" spans="28:31" ht="15">
      <c r="AB676" s="1227"/>
      <c r="AC676" s="739"/>
      <c r="AD676" s="739"/>
      <c r="AE676" s="108"/>
    </row>
    <row r="677" spans="28:31" ht="15">
      <c r="AB677" s="1227"/>
      <c r="AC677" s="739"/>
      <c r="AD677" s="739"/>
      <c r="AE677" s="108"/>
    </row>
    <row r="678" spans="28:31" ht="15">
      <c r="AB678" s="1227"/>
      <c r="AC678" s="739"/>
      <c r="AD678" s="739"/>
      <c r="AE678" s="108"/>
    </row>
    <row r="679" spans="28:31" ht="15">
      <c r="AB679" s="1227"/>
      <c r="AC679" s="739"/>
      <c r="AD679" s="739"/>
      <c r="AE679" s="108"/>
    </row>
    <row r="680" spans="28:31" ht="15">
      <c r="AB680" s="1227"/>
      <c r="AC680" s="739"/>
      <c r="AD680" s="739"/>
      <c r="AE680" s="108"/>
    </row>
    <row r="681" spans="28:31" ht="15">
      <c r="AB681" s="1227"/>
      <c r="AC681" s="739"/>
      <c r="AD681" s="739"/>
      <c r="AE681" s="108"/>
    </row>
    <row r="682" spans="28:31" ht="15">
      <c r="AB682" s="1227"/>
      <c r="AC682" s="739"/>
      <c r="AD682" s="739"/>
      <c r="AE682" s="108"/>
    </row>
    <row r="683" spans="28:31" ht="15">
      <c r="AB683" s="1227"/>
      <c r="AC683" s="739"/>
      <c r="AD683" s="739"/>
      <c r="AE683" s="108"/>
    </row>
    <row r="684" spans="28:31" ht="15">
      <c r="AB684" s="1227"/>
      <c r="AC684" s="739"/>
      <c r="AD684" s="739"/>
      <c r="AE684" s="108"/>
    </row>
    <row r="685" spans="28:31" ht="15">
      <c r="AB685" s="1227"/>
      <c r="AC685" s="739"/>
      <c r="AD685" s="739"/>
      <c r="AE685" s="108"/>
    </row>
    <row r="686" spans="28:31" ht="15">
      <c r="AB686" s="1227"/>
      <c r="AC686" s="739"/>
      <c r="AD686" s="739"/>
      <c r="AE686" s="108"/>
    </row>
    <row r="687" spans="28:31" ht="15">
      <c r="AB687" s="1227"/>
      <c r="AC687" s="739"/>
      <c r="AD687" s="739"/>
      <c r="AE687" s="108"/>
    </row>
    <row r="688" spans="28:31" ht="15">
      <c r="AB688" s="1227"/>
      <c r="AC688" s="739"/>
      <c r="AD688" s="739"/>
      <c r="AE688" s="108"/>
    </row>
    <row r="689" spans="28:31" ht="15">
      <c r="AB689" s="1227"/>
      <c r="AC689" s="739"/>
      <c r="AD689" s="739"/>
      <c r="AE689" s="108"/>
    </row>
    <row r="690" spans="28:31" ht="15">
      <c r="AB690" s="1227"/>
      <c r="AC690" s="739"/>
      <c r="AD690" s="739"/>
      <c r="AE690" s="108"/>
    </row>
    <row r="691" spans="28:31" ht="15">
      <c r="AB691" s="1227"/>
      <c r="AC691" s="739"/>
      <c r="AD691" s="739"/>
      <c r="AE691" s="108"/>
    </row>
    <row r="692" spans="28:31" ht="15">
      <c r="AB692" s="1227"/>
      <c r="AC692" s="739"/>
      <c r="AD692" s="739"/>
      <c r="AE692" s="108"/>
    </row>
    <row r="693" spans="28:31" ht="15">
      <c r="AB693" s="1227"/>
      <c r="AC693" s="739"/>
      <c r="AD693" s="739"/>
      <c r="AE693" s="108"/>
    </row>
    <row r="694" spans="28:31" ht="15">
      <c r="AB694" s="1227"/>
      <c r="AC694" s="739"/>
      <c r="AD694" s="739"/>
      <c r="AE694" s="108"/>
    </row>
    <row r="695" spans="28:31" ht="15">
      <c r="AB695" s="1227"/>
      <c r="AC695" s="739"/>
      <c r="AD695" s="739"/>
      <c r="AE695" s="108"/>
    </row>
    <row r="696" spans="28:31" ht="15">
      <c r="AB696" s="1227"/>
      <c r="AC696" s="739"/>
      <c r="AD696" s="739"/>
      <c r="AE696" s="108"/>
    </row>
    <row r="697" spans="28:31" ht="15">
      <c r="AB697" s="1227"/>
      <c r="AC697" s="739"/>
      <c r="AD697" s="739"/>
      <c r="AE697" s="1227"/>
    </row>
    <row r="698" spans="28:31" ht="15">
      <c r="AB698" s="1227"/>
      <c r="AC698" s="739"/>
      <c r="AD698" s="739"/>
      <c r="AE698" s="1227"/>
    </row>
    <row r="699" spans="28:31" ht="15">
      <c r="AB699" s="1227"/>
      <c r="AC699" s="739"/>
      <c r="AD699" s="739"/>
      <c r="AE699" s="1227"/>
    </row>
    <row r="700" spans="28:31" ht="15">
      <c r="AB700" s="1227"/>
      <c r="AC700" s="739"/>
      <c r="AD700" s="739"/>
      <c r="AE700" s="1227"/>
    </row>
    <row r="701" spans="28:31" ht="15">
      <c r="AB701" s="1227"/>
      <c r="AC701" s="739"/>
      <c r="AD701" s="739"/>
      <c r="AE701" s="1227"/>
    </row>
    <row r="702" spans="28:31" ht="15">
      <c r="AB702" s="1227"/>
      <c r="AC702" s="739"/>
      <c r="AD702" s="739"/>
      <c r="AE702" s="1227"/>
    </row>
    <row r="703" spans="28:31" ht="15">
      <c r="AB703" s="1227"/>
      <c r="AC703" s="739"/>
      <c r="AD703" s="739"/>
      <c r="AE703" s="1227"/>
    </row>
    <row r="704" spans="28:31" ht="15">
      <c r="AB704" s="1227"/>
      <c r="AC704" s="739"/>
      <c r="AD704" s="739"/>
      <c r="AE704" s="1227"/>
    </row>
    <row r="705" spans="28:31" ht="15">
      <c r="AB705" s="1227"/>
      <c r="AC705" s="739"/>
      <c r="AD705" s="739"/>
      <c r="AE705" s="1227"/>
    </row>
    <row r="706" spans="28:31" ht="15">
      <c r="AB706" s="1227"/>
      <c r="AC706" s="739"/>
      <c r="AD706" s="739"/>
      <c r="AE706" s="1227"/>
    </row>
    <row r="707" spans="28:31" ht="15">
      <c r="AB707" s="1227"/>
      <c r="AC707" s="739"/>
      <c r="AD707" s="739"/>
      <c r="AE707" s="1227"/>
    </row>
    <row r="708" spans="28:31" ht="15">
      <c r="AB708" s="1227"/>
      <c r="AC708" s="739"/>
      <c r="AD708" s="739"/>
      <c r="AE708" s="1227"/>
    </row>
    <row r="709" spans="28:31" ht="15">
      <c r="AB709" s="1227"/>
      <c r="AC709" s="739"/>
      <c r="AD709" s="739"/>
      <c r="AE709" s="1227"/>
    </row>
    <row r="710" spans="28:31" ht="15">
      <c r="AB710" s="1227"/>
      <c r="AC710" s="739"/>
      <c r="AD710" s="739"/>
      <c r="AE710" s="1227"/>
    </row>
    <row r="711" spans="28:31" ht="15">
      <c r="AB711" s="1227"/>
      <c r="AC711" s="739"/>
      <c r="AD711" s="739"/>
      <c r="AE711" s="1227"/>
    </row>
    <row r="712" spans="28:31" ht="15">
      <c r="AB712" s="1227"/>
      <c r="AC712" s="739"/>
      <c r="AD712" s="739"/>
      <c r="AE712" s="1227"/>
    </row>
    <row r="713" spans="28:31" ht="15">
      <c r="AB713" s="1227"/>
      <c r="AC713" s="739"/>
      <c r="AD713" s="739"/>
      <c r="AE713" s="1227"/>
    </row>
    <row r="714" spans="28:31" ht="15">
      <c r="AB714" s="1227"/>
      <c r="AC714" s="739"/>
      <c r="AD714" s="739"/>
      <c r="AE714" s="1227"/>
    </row>
    <row r="715" spans="28:31" ht="15">
      <c r="AB715" s="1227"/>
      <c r="AC715" s="739"/>
      <c r="AD715" s="739"/>
      <c r="AE715" s="1227"/>
    </row>
    <row r="716" spans="28:31" ht="15">
      <c r="AB716" s="1227"/>
      <c r="AC716" s="739"/>
      <c r="AD716" s="739"/>
      <c r="AE716" s="1227"/>
    </row>
    <row r="717" spans="28:31" ht="15">
      <c r="AB717" s="1227"/>
      <c r="AC717" s="739"/>
      <c r="AD717" s="739"/>
      <c r="AE717" s="1227"/>
    </row>
    <row r="718" spans="28:31" ht="15">
      <c r="AB718" s="1227"/>
      <c r="AC718" s="739"/>
      <c r="AD718" s="739"/>
      <c r="AE718" s="1227"/>
    </row>
    <row r="719" spans="28:31" ht="15">
      <c r="AB719" s="1227"/>
      <c r="AC719" s="739"/>
      <c r="AD719" s="739"/>
      <c r="AE719" s="1227"/>
    </row>
    <row r="720" spans="28:31" ht="15">
      <c r="AB720" s="1227"/>
      <c r="AC720" s="739"/>
      <c r="AD720" s="739"/>
      <c r="AE720" s="1227"/>
    </row>
    <row r="721" spans="28:31" ht="15">
      <c r="AB721" s="1227"/>
      <c r="AC721" s="739"/>
      <c r="AD721" s="739"/>
      <c r="AE721" s="1227"/>
    </row>
    <row r="722" spans="28:31" ht="15">
      <c r="AB722" s="1227"/>
      <c r="AC722" s="739"/>
      <c r="AD722" s="739"/>
      <c r="AE722" s="1227"/>
    </row>
    <row r="723" spans="28:31" ht="15">
      <c r="AB723" s="1227"/>
      <c r="AC723" s="739"/>
      <c r="AD723" s="739"/>
      <c r="AE723" s="1227"/>
    </row>
    <row r="724" spans="28:31" ht="15">
      <c r="AB724" s="1227"/>
      <c r="AC724" s="739"/>
      <c r="AD724" s="739"/>
      <c r="AE724" s="1227"/>
    </row>
    <row r="725" spans="28:31" ht="15">
      <c r="AB725" s="1227"/>
      <c r="AC725" s="739"/>
      <c r="AD725" s="739"/>
      <c r="AE725" s="1227"/>
    </row>
    <row r="726" spans="28:31" ht="15">
      <c r="AB726" s="1227"/>
      <c r="AC726" s="739"/>
      <c r="AD726" s="739"/>
      <c r="AE726" s="1227"/>
    </row>
    <row r="727" spans="28:31" ht="15">
      <c r="AB727" s="1227"/>
      <c r="AC727" s="739"/>
      <c r="AD727" s="739"/>
      <c r="AE727" s="1227"/>
    </row>
    <row r="728" spans="28:31" ht="15">
      <c r="AB728" s="1227"/>
      <c r="AC728" s="739"/>
      <c r="AD728" s="739"/>
      <c r="AE728" s="1227"/>
    </row>
    <row r="729" spans="28:31" ht="15">
      <c r="AB729" s="1227"/>
      <c r="AC729" s="739"/>
      <c r="AD729" s="739"/>
      <c r="AE729" s="1227"/>
    </row>
    <row r="730" spans="28:31" ht="15">
      <c r="AB730" s="1227"/>
      <c r="AC730" s="739"/>
      <c r="AD730" s="739"/>
      <c r="AE730" s="1227"/>
    </row>
    <row r="731" spans="28:31" ht="15">
      <c r="AB731" s="1227"/>
      <c r="AC731" s="739"/>
      <c r="AD731" s="739"/>
      <c r="AE731" s="1227"/>
    </row>
    <row r="732" spans="28:31" ht="15">
      <c r="AB732" s="1227"/>
      <c r="AC732" s="739"/>
      <c r="AD732" s="739"/>
      <c r="AE732" s="1227"/>
    </row>
    <row r="733" spans="28:31" ht="15">
      <c r="AB733" s="1227"/>
      <c r="AC733" s="739"/>
      <c r="AD733" s="739"/>
      <c r="AE733" s="1227"/>
    </row>
    <row r="734" spans="28:31" ht="15">
      <c r="AB734" s="1227"/>
      <c r="AC734" s="739"/>
      <c r="AD734" s="739"/>
      <c r="AE734" s="1227"/>
    </row>
    <row r="735" spans="28:31" ht="15">
      <c r="AB735" s="1227"/>
      <c r="AC735" s="739"/>
      <c r="AD735" s="739"/>
      <c r="AE735" s="1227"/>
    </row>
    <row r="736" spans="28:31" ht="15">
      <c r="AB736" s="1227"/>
      <c r="AC736" s="739"/>
      <c r="AD736" s="739"/>
      <c r="AE736" s="1227"/>
    </row>
    <row r="737" spans="28:31" ht="15">
      <c r="AB737" s="1227"/>
      <c r="AC737" s="739"/>
      <c r="AD737" s="739"/>
      <c r="AE737" s="1227"/>
    </row>
    <row r="738" spans="28:31" ht="15">
      <c r="AB738" s="1227"/>
      <c r="AC738" s="739"/>
      <c r="AD738" s="739"/>
      <c r="AE738" s="1227"/>
    </row>
    <row r="739" spans="28:31" ht="15">
      <c r="AB739" s="1227"/>
      <c r="AC739" s="739"/>
      <c r="AD739" s="739"/>
      <c r="AE739" s="1227"/>
    </row>
    <row r="740" spans="28:31" ht="15">
      <c r="AB740" s="1227"/>
      <c r="AC740" s="739"/>
      <c r="AD740" s="739"/>
      <c r="AE740" s="1227"/>
    </row>
    <row r="741" spans="28:31" ht="15">
      <c r="AB741" s="1227"/>
      <c r="AC741" s="739"/>
      <c r="AD741" s="739"/>
      <c r="AE741" s="1227"/>
    </row>
    <row r="742" spans="28:31" ht="15">
      <c r="AB742" s="1227"/>
      <c r="AC742" s="739"/>
      <c r="AD742" s="739"/>
      <c r="AE742" s="1227"/>
    </row>
    <row r="743" spans="28:31" ht="15">
      <c r="AB743" s="1227"/>
      <c r="AC743" s="739"/>
      <c r="AD743" s="739"/>
      <c r="AE743" s="1227"/>
    </row>
    <row r="744" spans="28:31" ht="15">
      <c r="AB744" s="1227"/>
      <c r="AC744" s="739"/>
      <c r="AD744" s="739"/>
      <c r="AE744" s="1227"/>
    </row>
    <row r="745" spans="28:31" ht="15">
      <c r="AB745" s="1227"/>
      <c r="AC745" s="739"/>
      <c r="AD745" s="739"/>
      <c r="AE745" s="1227"/>
    </row>
    <row r="746" spans="28:31" ht="15">
      <c r="AB746" s="1227"/>
      <c r="AC746" s="739"/>
      <c r="AD746" s="739"/>
      <c r="AE746" s="1227"/>
    </row>
    <row r="747" spans="28:31" ht="15">
      <c r="AB747" s="1227"/>
      <c r="AC747" s="739"/>
      <c r="AD747" s="739"/>
      <c r="AE747" s="1227"/>
    </row>
    <row r="748" spans="28:31" ht="15">
      <c r="AB748" s="1227"/>
      <c r="AC748" s="739"/>
      <c r="AD748" s="739"/>
      <c r="AE748" s="1227"/>
    </row>
    <row r="749" spans="28:31" ht="15">
      <c r="AB749" s="1227"/>
      <c r="AC749" s="739"/>
      <c r="AD749" s="739"/>
      <c r="AE749" s="1227"/>
    </row>
    <row r="750" spans="28:31" ht="15">
      <c r="AB750" s="1227"/>
      <c r="AC750" s="739"/>
      <c r="AD750" s="739"/>
      <c r="AE750" s="1227"/>
    </row>
    <row r="751" spans="28:31" ht="15">
      <c r="AB751" s="1227"/>
      <c r="AC751" s="739"/>
      <c r="AD751" s="739"/>
      <c r="AE751" s="1227"/>
    </row>
    <row r="752" spans="28:31" ht="15">
      <c r="AB752" s="1227"/>
      <c r="AC752" s="739"/>
      <c r="AD752" s="739"/>
      <c r="AE752" s="1227"/>
    </row>
    <row r="753" spans="28:31" ht="15">
      <c r="AB753" s="1227"/>
      <c r="AC753" s="739"/>
      <c r="AD753" s="739"/>
      <c r="AE753" s="1227"/>
    </row>
    <row r="754" spans="28:31" ht="15">
      <c r="AB754" s="1227"/>
      <c r="AC754" s="739"/>
      <c r="AD754" s="739"/>
      <c r="AE754" s="1227"/>
    </row>
    <row r="755" spans="28:31" ht="15">
      <c r="AB755" s="1227"/>
      <c r="AC755" s="739"/>
      <c r="AD755" s="739"/>
      <c r="AE755" s="1227"/>
    </row>
    <row r="756" spans="28:31" ht="15">
      <c r="AB756" s="1227"/>
      <c r="AC756" s="739"/>
      <c r="AD756" s="739"/>
      <c r="AE756" s="1227"/>
    </row>
    <row r="757" spans="28:31" ht="15">
      <c r="AB757" s="1227"/>
      <c r="AC757" s="739"/>
      <c r="AD757" s="739"/>
      <c r="AE757" s="1227"/>
    </row>
    <row r="758" spans="28:31" ht="15">
      <c r="AB758" s="1227"/>
      <c r="AC758" s="739"/>
      <c r="AD758" s="739"/>
      <c r="AE758" s="1227"/>
    </row>
    <row r="759" spans="28:31" ht="15">
      <c r="AB759" s="1227"/>
      <c r="AC759" s="739"/>
      <c r="AD759" s="739"/>
      <c r="AE759" s="1227"/>
    </row>
    <row r="760" spans="28:31" ht="15">
      <c r="AB760" s="1227"/>
      <c r="AC760" s="739"/>
      <c r="AD760" s="739"/>
      <c r="AE760" s="1227"/>
    </row>
    <row r="761" spans="28:31" ht="15">
      <c r="AB761" s="1227"/>
      <c r="AC761" s="739"/>
      <c r="AD761" s="739"/>
      <c r="AE761" s="1227"/>
    </row>
    <row r="762" spans="28:31" ht="15">
      <c r="AB762" s="1227"/>
      <c r="AC762" s="739"/>
      <c r="AD762" s="739"/>
      <c r="AE762" s="1227"/>
    </row>
    <row r="763" spans="28:31" ht="15">
      <c r="AB763" s="1227"/>
      <c r="AC763" s="739"/>
      <c r="AD763" s="739"/>
      <c r="AE763" s="1227"/>
    </row>
    <row r="764" spans="28:31" ht="15">
      <c r="AB764" s="1227"/>
      <c r="AC764" s="739"/>
      <c r="AD764" s="739"/>
      <c r="AE764" s="1227"/>
    </row>
    <row r="765" spans="28:31" ht="15">
      <c r="AB765" s="1227"/>
      <c r="AC765" s="739"/>
      <c r="AD765" s="739"/>
      <c r="AE765" s="1227"/>
    </row>
    <row r="766" spans="28:31" ht="15">
      <c r="AB766" s="1227"/>
      <c r="AC766" s="739"/>
      <c r="AD766" s="739"/>
      <c r="AE766" s="1227"/>
    </row>
    <row r="767" spans="28:31" ht="15">
      <c r="AB767" s="1227"/>
      <c r="AC767" s="739"/>
      <c r="AD767" s="739"/>
      <c r="AE767" s="1227"/>
    </row>
    <row r="768" spans="28:31" ht="15">
      <c r="AB768" s="1227"/>
      <c r="AC768" s="739"/>
      <c r="AD768" s="739"/>
      <c r="AE768" s="1227"/>
    </row>
    <row r="769" spans="28:31" ht="15">
      <c r="AB769" s="1227"/>
      <c r="AC769" s="739"/>
      <c r="AD769" s="739"/>
      <c r="AE769" s="1227"/>
    </row>
    <row r="770" spans="28:31" ht="15">
      <c r="AB770" s="1227"/>
      <c r="AC770" s="739"/>
      <c r="AD770" s="739"/>
      <c r="AE770" s="1227"/>
    </row>
    <row r="771" spans="28:31" ht="15">
      <c r="AB771" s="1227"/>
      <c r="AC771" s="739"/>
      <c r="AD771" s="739"/>
      <c r="AE771" s="1227"/>
    </row>
    <row r="772" spans="28:31" ht="15">
      <c r="AB772" s="1227"/>
      <c r="AC772" s="739"/>
      <c r="AD772" s="739"/>
      <c r="AE772" s="1227"/>
    </row>
    <row r="773" spans="28:31" ht="15">
      <c r="AB773" s="1227"/>
      <c r="AC773" s="739"/>
      <c r="AD773" s="739"/>
      <c r="AE773" s="1227"/>
    </row>
    <row r="774" spans="28:31" ht="15">
      <c r="AB774" s="1227"/>
      <c r="AC774" s="739"/>
      <c r="AD774" s="739"/>
      <c r="AE774" s="1227"/>
    </row>
    <row r="775" spans="28:31" ht="15">
      <c r="AB775" s="1227"/>
      <c r="AC775" s="739"/>
      <c r="AD775" s="739"/>
      <c r="AE775" s="1227"/>
    </row>
    <row r="776" spans="28:31" ht="15">
      <c r="AB776" s="1227"/>
      <c r="AC776" s="739"/>
      <c r="AD776" s="739"/>
      <c r="AE776" s="1227"/>
    </row>
    <row r="777" spans="28:31" ht="15">
      <c r="AB777" s="1227"/>
      <c r="AC777" s="739"/>
      <c r="AD777" s="739"/>
      <c r="AE777" s="1227"/>
    </row>
    <row r="778" spans="28:31" ht="15">
      <c r="AB778" s="1227"/>
      <c r="AC778" s="739"/>
      <c r="AD778" s="739"/>
      <c r="AE778" s="1227"/>
    </row>
    <row r="779" spans="28:31" ht="15">
      <c r="AB779" s="1227"/>
      <c r="AC779" s="739"/>
      <c r="AD779" s="739"/>
      <c r="AE779" s="1227"/>
    </row>
    <row r="780" spans="28:31" ht="15">
      <c r="AB780" s="1227"/>
      <c r="AC780" s="739"/>
      <c r="AD780" s="739"/>
      <c r="AE780" s="1227"/>
    </row>
    <row r="781" spans="28:31" ht="15">
      <c r="AB781" s="1227"/>
      <c r="AC781" s="739"/>
      <c r="AD781" s="739"/>
      <c r="AE781" s="1227"/>
    </row>
    <row r="782" spans="28:31" ht="15">
      <c r="AB782" s="1227"/>
      <c r="AC782" s="739"/>
      <c r="AD782" s="739"/>
      <c r="AE782" s="1227"/>
    </row>
    <row r="783" spans="28:31" ht="15">
      <c r="AB783" s="1227"/>
      <c r="AC783" s="739"/>
      <c r="AD783" s="739"/>
      <c r="AE783" s="1227"/>
    </row>
    <row r="784" spans="28:31" ht="15">
      <c r="AB784" s="1227"/>
      <c r="AC784" s="739"/>
      <c r="AD784" s="739"/>
      <c r="AE784" s="1227"/>
    </row>
    <row r="785" spans="28:31" ht="15">
      <c r="AB785" s="1227"/>
      <c r="AC785" s="739"/>
      <c r="AD785" s="739"/>
      <c r="AE785" s="1227"/>
    </row>
    <row r="786" spans="28:31" ht="15">
      <c r="AB786" s="1227"/>
      <c r="AC786" s="739"/>
      <c r="AD786" s="739"/>
      <c r="AE786" s="1227"/>
    </row>
    <row r="787" spans="28:31" ht="15">
      <c r="AB787" s="1227"/>
      <c r="AC787" s="739"/>
      <c r="AD787" s="739"/>
      <c r="AE787" s="1227"/>
    </row>
    <row r="788" spans="28:31" ht="15">
      <c r="AB788" s="1227"/>
      <c r="AC788" s="739"/>
      <c r="AD788" s="739"/>
      <c r="AE788" s="1227"/>
    </row>
    <row r="789" spans="28:31" ht="15">
      <c r="AB789" s="1227"/>
      <c r="AC789" s="739"/>
      <c r="AD789" s="739"/>
      <c r="AE789" s="1227"/>
    </row>
    <row r="790" spans="28:31" ht="15">
      <c r="AB790" s="1227"/>
      <c r="AC790" s="739"/>
      <c r="AD790" s="739"/>
      <c r="AE790" s="1227"/>
    </row>
    <row r="791" spans="28:31" ht="15">
      <c r="AB791" s="1227"/>
      <c r="AC791" s="739"/>
      <c r="AD791" s="739"/>
      <c r="AE791" s="1227"/>
    </row>
    <row r="792" spans="28:31" ht="15">
      <c r="AB792" s="1227"/>
      <c r="AC792" s="739"/>
      <c r="AD792" s="739"/>
      <c r="AE792" s="1227"/>
    </row>
    <row r="793" spans="28:31" ht="15">
      <c r="AB793" s="1227"/>
      <c r="AC793" s="739"/>
      <c r="AD793" s="739"/>
      <c r="AE793" s="1227"/>
    </row>
    <row r="794" spans="28:31" ht="15">
      <c r="AB794" s="1227"/>
      <c r="AC794" s="739"/>
      <c r="AD794" s="739"/>
      <c r="AE794" s="1227"/>
    </row>
    <row r="795" spans="28:31" ht="15">
      <c r="AB795" s="1227"/>
      <c r="AC795" s="739"/>
      <c r="AD795" s="739"/>
      <c r="AE795" s="1227"/>
    </row>
    <row r="796" spans="28:31" ht="15">
      <c r="AB796" s="1227"/>
      <c r="AC796" s="739"/>
      <c r="AD796" s="739"/>
      <c r="AE796" s="1227"/>
    </row>
    <row r="797" spans="28:31" ht="15">
      <c r="AB797" s="1227"/>
      <c r="AC797" s="739"/>
      <c r="AD797" s="739"/>
      <c r="AE797" s="1227"/>
    </row>
    <row r="798" spans="28:31" ht="15">
      <c r="AB798" s="1227"/>
      <c r="AC798" s="739"/>
      <c r="AD798" s="739"/>
      <c r="AE798" s="1227"/>
    </row>
    <row r="799" spans="28:31" ht="15">
      <c r="AB799" s="1227"/>
      <c r="AC799" s="739"/>
      <c r="AD799" s="739"/>
      <c r="AE799" s="1227"/>
    </row>
    <row r="800" spans="28:31" ht="15">
      <c r="AB800" s="1227"/>
      <c r="AC800" s="739"/>
      <c r="AD800" s="739"/>
      <c r="AE800" s="1227"/>
    </row>
    <row r="801" spans="28:31" ht="15">
      <c r="AB801" s="1227"/>
      <c r="AC801" s="739"/>
      <c r="AD801" s="739"/>
      <c r="AE801" s="1227"/>
    </row>
    <row r="802" spans="28:31" ht="15">
      <c r="AB802" s="1227"/>
      <c r="AC802" s="739"/>
      <c r="AD802" s="739"/>
      <c r="AE802" s="1227"/>
    </row>
    <row r="803" spans="28:31" ht="15">
      <c r="AB803" s="1227"/>
      <c r="AC803" s="739"/>
      <c r="AD803" s="739"/>
      <c r="AE803" s="1227"/>
    </row>
    <row r="804" spans="28:31" ht="15">
      <c r="AB804" s="1227"/>
      <c r="AC804" s="739"/>
      <c r="AD804" s="739"/>
      <c r="AE804" s="1227"/>
    </row>
    <row r="805" spans="28:31" ht="15">
      <c r="AB805" s="1227"/>
      <c r="AC805" s="739"/>
      <c r="AD805" s="739"/>
      <c r="AE805" s="1227"/>
    </row>
    <row r="806" spans="28:31">
      <c r="AB806" s="1227"/>
      <c r="AC806" s="1227"/>
      <c r="AD806" s="1227"/>
      <c r="AE806" s="1227"/>
    </row>
    <row r="807" spans="28:31">
      <c r="AB807" s="1227"/>
      <c r="AC807" s="1227"/>
      <c r="AD807" s="1227"/>
      <c r="AE807" s="1227"/>
    </row>
    <row r="808" spans="28:31">
      <c r="AB808" s="1227"/>
      <c r="AC808" s="1227"/>
      <c r="AD808" s="1227"/>
      <c r="AE808" s="1227"/>
    </row>
    <row r="809" spans="28:31">
      <c r="AB809" s="1227"/>
      <c r="AC809" s="1227"/>
      <c r="AD809" s="1227"/>
      <c r="AE809" s="1227"/>
    </row>
    <row r="810" spans="28:31">
      <c r="AB810" s="1227"/>
      <c r="AC810" s="1227"/>
      <c r="AD810" s="1227"/>
      <c r="AE810" s="1227"/>
    </row>
    <row r="811" spans="28:31">
      <c r="AB811" s="1227"/>
      <c r="AC811" s="1227"/>
      <c r="AD811" s="1227"/>
      <c r="AE811" s="1227"/>
    </row>
    <row r="812" spans="28:31">
      <c r="AB812" s="1227"/>
      <c r="AC812" s="1227"/>
      <c r="AD812" s="1227"/>
      <c r="AE812" s="1227"/>
    </row>
    <row r="813" spans="28:31">
      <c r="AB813" s="1227"/>
      <c r="AC813" s="1227"/>
      <c r="AD813" s="1227"/>
      <c r="AE813" s="1227"/>
    </row>
    <row r="814" spans="28:31">
      <c r="AB814" s="1227"/>
      <c r="AC814" s="1227"/>
      <c r="AD814" s="1227"/>
      <c r="AE814" s="1227"/>
    </row>
    <row r="815" spans="28:31">
      <c r="AB815" s="1227"/>
      <c r="AC815" s="1227"/>
      <c r="AD815" s="1227"/>
      <c r="AE815" s="1227"/>
    </row>
    <row r="816" spans="28:31">
      <c r="AB816" s="1227"/>
      <c r="AC816" s="1227"/>
      <c r="AD816" s="1227"/>
      <c r="AE816" s="1227"/>
    </row>
    <row r="817" spans="28:31">
      <c r="AB817" s="1227"/>
      <c r="AC817" s="1227"/>
      <c r="AD817" s="1227"/>
      <c r="AE817" s="1227"/>
    </row>
    <row r="818" spans="28:31">
      <c r="AB818" s="1227"/>
      <c r="AC818" s="1227"/>
      <c r="AD818" s="1227"/>
      <c r="AE818" s="1227"/>
    </row>
    <row r="819" spans="28:31">
      <c r="AB819" s="1227"/>
      <c r="AC819" s="1227"/>
      <c r="AD819" s="1227"/>
      <c r="AE819" s="1227"/>
    </row>
    <row r="820" spans="28:31">
      <c r="AB820" s="1227"/>
      <c r="AC820" s="1227"/>
      <c r="AD820" s="1227"/>
      <c r="AE820" s="1227"/>
    </row>
    <row r="821" spans="28:31">
      <c r="AB821" s="1227"/>
      <c r="AC821" s="1227"/>
      <c r="AD821" s="1227"/>
      <c r="AE821" s="1227"/>
    </row>
    <row r="822" spans="28:31">
      <c r="AB822" s="1227"/>
      <c r="AC822" s="1227"/>
      <c r="AD822" s="1227"/>
      <c r="AE822" s="1227"/>
    </row>
    <row r="823" spans="28:31">
      <c r="AB823" s="1227"/>
      <c r="AC823" s="1227"/>
      <c r="AD823" s="1227"/>
      <c r="AE823" s="1227"/>
    </row>
    <row r="824" spans="28:31">
      <c r="AB824" s="1227"/>
      <c r="AC824" s="1227"/>
      <c r="AD824" s="1227"/>
      <c r="AE824" s="1227"/>
    </row>
    <row r="825" spans="28:31">
      <c r="AB825" s="1227"/>
      <c r="AC825" s="1227"/>
      <c r="AD825" s="1227"/>
      <c r="AE825" s="1227"/>
    </row>
    <row r="826" spans="28:31">
      <c r="AB826" s="1227"/>
      <c r="AC826" s="1227"/>
      <c r="AD826" s="1227"/>
      <c r="AE826" s="1227"/>
    </row>
    <row r="827" spans="28:31">
      <c r="AB827" s="1227"/>
      <c r="AC827" s="1227"/>
      <c r="AD827" s="1227"/>
      <c r="AE827" s="1227"/>
    </row>
    <row r="828" spans="28:31">
      <c r="AB828" s="1227"/>
      <c r="AC828" s="1227"/>
      <c r="AD828" s="1227"/>
      <c r="AE828" s="1227"/>
    </row>
    <row r="829" spans="28:31">
      <c r="AB829" s="1227"/>
      <c r="AC829" s="1227"/>
      <c r="AD829" s="1227"/>
      <c r="AE829" s="1227"/>
    </row>
    <row r="830" spans="28:31">
      <c r="AB830" s="1227"/>
      <c r="AC830" s="1227"/>
      <c r="AD830" s="1227"/>
      <c r="AE830" s="1227"/>
    </row>
    <row r="831" spans="28:31">
      <c r="AB831" s="1227"/>
      <c r="AC831" s="1227"/>
      <c r="AD831" s="1227"/>
      <c r="AE831" s="1227"/>
    </row>
    <row r="832" spans="28:31">
      <c r="AB832" s="1227"/>
      <c r="AC832" s="1227"/>
      <c r="AD832" s="1227"/>
      <c r="AE832" s="1227"/>
    </row>
    <row r="833" spans="28:31">
      <c r="AB833" s="1227"/>
      <c r="AC833" s="1227"/>
      <c r="AD833" s="1227"/>
      <c r="AE833" s="1227"/>
    </row>
    <row r="834" spans="28:31">
      <c r="AB834" s="1227"/>
      <c r="AC834" s="1227"/>
      <c r="AD834" s="1227"/>
      <c r="AE834" s="1227"/>
    </row>
    <row r="835" spans="28:31">
      <c r="AB835" s="1227"/>
      <c r="AC835" s="1227"/>
      <c r="AD835" s="1227"/>
      <c r="AE835" s="1227"/>
    </row>
    <row r="836" spans="28:31">
      <c r="AB836" s="1227"/>
      <c r="AC836" s="1227"/>
      <c r="AD836" s="1227"/>
      <c r="AE836" s="1227"/>
    </row>
    <row r="837" spans="28:31">
      <c r="AB837" s="1227"/>
      <c r="AC837" s="1227"/>
      <c r="AD837" s="1227"/>
      <c r="AE837" s="1227"/>
    </row>
    <row r="838" spans="28:31">
      <c r="AB838" s="1227"/>
      <c r="AC838" s="1227"/>
      <c r="AD838" s="1227"/>
      <c r="AE838" s="1227"/>
    </row>
    <row r="839" spans="28:31">
      <c r="AB839" s="1227"/>
      <c r="AC839" s="1227"/>
      <c r="AD839" s="1227"/>
      <c r="AE839" s="1227"/>
    </row>
    <row r="840" spans="28:31">
      <c r="AB840" s="1227"/>
      <c r="AC840" s="1227"/>
      <c r="AD840" s="1227"/>
      <c r="AE840" s="1227"/>
    </row>
    <row r="841" spans="28:31">
      <c r="AB841" s="1227"/>
      <c r="AC841" s="1227"/>
      <c r="AD841" s="1227"/>
      <c r="AE841" s="1227"/>
    </row>
    <row r="842" spans="28:31">
      <c r="AB842" s="1227"/>
      <c r="AC842" s="1227"/>
      <c r="AD842" s="1227"/>
      <c r="AE842" s="1227"/>
    </row>
    <row r="843" spans="28:31">
      <c r="AB843" s="1227"/>
      <c r="AC843" s="1227"/>
      <c r="AD843" s="1227"/>
      <c r="AE843" s="1227"/>
    </row>
    <row r="844" spans="28:31">
      <c r="AB844" s="1227"/>
      <c r="AC844" s="1227"/>
      <c r="AD844" s="1227"/>
      <c r="AE844" s="1227"/>
    </row>
    <row r="845" spans="28:31">
      <c r="AB845" s="1227"/>
      <c r="AC845" s="1227"/>
      <c r="AD845" s="1227"/>
      <c r="AE845" s="1227"/>
    </row>
    <row r="846" spans="28:31">
      <c r="AB846" s="1227"/>
      <c r="AC846" s="1227"/>
      <c r="AD846" s="1227"/>
      <c r="AE846" s="1227"/>
    </row>
    <row r="847" spans="28:31">
      <c r="AB847" s="1227"/>
      <c r="AC847" s="1227"/>
      <c r="AD847" s="1227"/>
      <c r="AE847" s="1227"/>
    </row>
    <row r="848" spans="28:31">
      <c r="AB848" s="1227"/>
      <c r="AC848" s="1227"/>
      <c r="AD848" s="1227"/>
      <c r="AE848" s="1227"/>
    </row>
    <row r="849" spans="28:31">
      <c r="AB849" s="1227"/>
      <c r="AC849" s="1227"/>
      <c r="AD849" s="1227"/>
      <c r="AE849" s="1227"/>
    </row>
    <row r="850" spans="28:31">
      <c r="AB850" s="1227"/>
      <c r="AC850" s="1227"/>
      <c r="AD850" s="1227"/>
      <c r="AE850" s="1227"/>
    </row>
    <row r="851" spans="28:31">
      <c r="AB851" s="1227"/>
      <c r="AC851" s="1227"/>
      <c r="AD851" s="1227"/>
      <c r="AE851" s="1227"/>
    </row>
    <row r="852" spans="28:31">
      <c r="AB852" s="1227"/>
      <c r="AC852" s="1227"/>
      <c r="AD852" s="1227"/>
      <c r="AE852" s="1227"/>
    </row>
    <row r="853" spans="28:31">
      <c r="AB853" s="1227"/>
      <c r="AC853" s="1227"/>
      <c r="AD853" s="1227"/>
      <c r="AE853" s="1227"/>
    </row>
    <row r="854" spans="28:31">
      <c r="AB854" s="1227"/>
      <c r="AC854" s="1227"/>
      <c r="AD854" s="1227"/>
      <c r="AE854" s="1227"/>
    </row>
    <row r="855" spans="28:31">
      <c r="AB855" s="1227"/>
      <c r="AC855" s="1227"/>
      <c r="AD855" s="1227"/>
      <c r="AE855" s="1227"/>
    </row>
    <row r="856" spans="28:31">
      <c r="AB856" s="1227"/>
      <c r="AC856" s="1227"/>
      <c r="AD856" s="1227"/>
      <c r="AE856" s="1227"/>
    </row>
    <row r="857" spans="28:31">
      <c r="AB857" s="1227"/>
      <c r="AC857" s="1227"/>
      <c r="AD857" s="1227"/>
      <c r="AE857" s="1227"/>
    </row>
    <row r="858" spans="28:31">
      <c r="AB858" s="1227"/>
      <c r="AC858" s="1227"/>
      <c r="AD858" s="1227"/>
      <c r="AE858" s="1227"/>
    </row>
    <row r="859" spans="28:31">
      <c r="AB859" s="1227"/>
      <c r="AC859" s="1227"/>
      <c r="AD859" s="1227"/>
      <c r="AE859" s="1227"/>
    </row>
    <row r="860" spans="28:31">
      <c r="AB860" s="1227"/>
      <c r="AC860" s="1227"/>
      <c r="AD860" s="1227"/>
      <c r="AE860" s="1227"/>
    </row>
    <row r="861" spans="28:31">
      <c r="AB861" s="1227"/>
      <c r="AC861" s="1227"/>
      <c r="AD861" s="1227"/>
      <c r="AE861" s="1227"/>
    </row>
    <row r="862" spans="28:31">
      <c r="AB862" s="1227"/>
      <c r="AC862" s="1227"/>
      <c r="AD862" s="1227"/>
      <c r="AE862" s="1227"/>
    </row>
    <row r="863" spans="28:31">
      <c r="AB863" s="1227"/>
      <c r="AC863" s="1227"/>
      <c r="AD863" s="1227"/>
      <c r="AE863" s="1227"/>
    </row>
    <row r="864" spans="28:31">
      <c r="AB864" s="1227"/>
      <c r="AC864" s="1227"/>
      <c r="AD864" s="1227"/>
      <c r="AE864" s="1227"/>
    </row>
    <row r="865" spans="28:31">
      <c r="AB865" s="1227"/>
      <c r="AC865" s="1227"/>
      <c r="AD865" s="1227"/>
      <c r="AE865" s="1227"/>
    </row>
    <row r="866" spans="28:31">
      <c r="AB866" s="1227"/>
      <c r="AC866" s="1227"/>
      <c r="AD866" s="1227"/>
      <c r="AE866" s="1227"/>
    </row>
    <row r="867" spans="28:31">
      <c r="AB867" s="1227"/>
      <c r="AC867" s="1227"/>
      <c r="AD867" s="1227"/>
      <c r="AE867" s="1227"/>
    </row>
    <row r="868" spans="28:31">
      <c r="AB868" s="1227"/>
      <c r="AC868" s="1227"/>
      <c r="AD868" s="1227"/>
      <c r="AE868" s="1227"/>
    </row>
    <row r="869" spans="28:31">
      <c r="AB869" s="1227"/>
      <c r="AC869" s="1227"/>
      <c r="AD869" s="1227"/>
      <c r="AE869" s="1227"/>
    </row>
    <row r="870" spans="28:31">
      <c r="AB870" s="1227"/>
      <c r="AC870" s="1227"/>
      <c r="AD870" s="1227"/>
      <c r="AE870" s="1227"/>
    </row>
    <row r="871" spans="28:31">
      <c r="AB871" s="1227"/>
      <c r="AC871" s="1227"/>
      <c r="AD871" s="1227"/>
      <c r="AE871" s="1227"/>
    </row>
    <row r="872" spans="28:31">
      <c r="AB872" s="1227"/>
      <c r="AC872" s="1227"/>
      <c r="AD872" s="1227"/>
      <c r="AE872" s="1227"/>
    </row>
    <row r="873" spans="28:31">
      <c r="AB873" s="1227"/>
      <c r="AC873" s="1227"/>
      <c r="AD873" s="1227"/>
      <c r="AE873" s="1227"/>
    </row>
    <row r="874" spans="28:31">
      <c r="AB874" s="1227"/>
      <c r="AC874" s="1227"/>
      <c r="AD874" s="1227"/>
      <c r="AE874" s="1227"/>
    </row>
    <row r="875" spans="28:31">
      <c r="AB875" s="1227"/>
      <c r="AC875" s="1227"/>
      <c r="AD875" s="1227"/>
      <c r="AE875" s="1227"/>
    </row>
    <row r="876" spans="28:31">
      <c r="AB876" s="1227"/>
      <c r="AC876" s="1227"/>
      <c r="AD876" s="1227"/>
      <c r="AE876" s="1227"/>
    </row>
    <row r="877" spans="28:31">
      <c r="AB877" s="1227"/>
      <c r="AC877" s="1227"/>
      <c r="AD877" s="1227"/>
      <c r="AE877" s="1227"/>
    </row>
    <row r="878" spans="28:31">
      <c r="AB878" s="1227"/>
      <c r="AC878" s="1227"/>
      <c r="AD878" s="1227"/>
      <c r="AE878" s="1227"/>
    </row>
    <row r="879" spans="28:31">
      <c r="AB879" s="1227"/>
      <c r="AC879" s="1227"/>
      <c r="AD879" s="1227"/>
      <c r="AE879" s="1227"/>
    </row>
    <row r="880" spans="28:31">
      <c r="AB880" s="1227"/>
      <c r="AC880" s="1227"/>
      <c r="AD880" s="1227"/>
      <c r="AE880" s="1227"/>
    </row>
    <row r="881" spans="28:31">
      <c r="AB881" s="1227"/>
      <c r="AC881" s="1227"/>
      <c r="AD881" s="1227"/>
      <c r="AE881" s="1227"/>
    </row>
    <row r="882" spans="28:31">
      <c r="AB882" s="1227"/>
      <c r="AC882" s="1227"/>
      <c r="AD882" s="1227"/>
      <c r="AE882" s="1227"/>
    </row>
    <row r="883" spans="28:31">
      <c r="AB883" s="1227"/>
      <c r="AC883" s="1227"/>
      <c r="AD883" s="1227"/>
      <c r="AE883" s="1227"/>
    </row>
    <row r="884" spans="28:31">
      <c r="AB884" s="1227"/>
      <c r="AC884" s="1227"/>
      <c r="AD884" s="1227"/>
      <c r="AE884" s="1227"/>
    </row>
    <row r="885" spans="28:31">
      <c r="AB885" s="1227"/>
      <c r="AC885" s="1227"/>
      <c r="AD885" s="1227"/>
      <c r="AE885" s="1227"/>
    </row>
    <row r="886" spans="28:31">
      <c r="AB886" s="1227"/>
      <c r="AC886" s="1227"/>
      <c r="AD886" s="1227"/>
      <c r="AE886" s="1227"/>
    </row>
    <row r="887" spans="28:31">
      <c r="AB887" s="1227"/>
      <c r="AC887" s="1227"/>
      <c r="AD887" s="1227"/>
      <c r="AE887" s="1227"/>
    </row>
    <row r="888" spans="28:31">
      <c r="AB888" s="1227"/>
      <c r="AC888" s="1227"/>
      <c r="AD888" s="1227"/>
      <c r="AE888" s="1227"/>
    </row>
    <row r="889" spans="28:31">
      <c r="AB889" s="1227"/>
      <c r="AC889" s="1227"/>
      <c r="AD889" s="1227"/>
      <c r="AE889" s="1227"/>
    </row>
    <row r="890" spans="28:31">
      <c r="AB890" s="1227"/>
      <c r="AC890" s="1227"/>
      <c r="AD890" s="1227"/>
      <c r="AE890" s="1227"/>
    </row>
    <row r="891" spans="28:31">
      <c r="AB891" s="1227"/>
      <c r="AC891" s="1227"/>
      <c r="AD891" s="1227"/>
      <c r="AE891" s="1227"/>
    </row>
    <row r="892" spans="28:31">
      <c r="AB892" s="1227"/>
      <c r="AC892" s="1227"/>
      <c r="AD892" s="1227"/>
      <c r="AE892" s="1227"/>
    </row>
    <row r="893" spans="28:31">
      <c r="AB893" s="1227"/>
      <c r="AC893" s="1227"/>
      <c r="AD893" s="1227"/>
      <c r="AE893" s="1227"/>
    </row>
    <row r="894" spans="28:31">
      <c r="AB894" s="1227"/>
      <c r="AC894" s="1227"/>
      <c r="AD894" s="1227"/>
      <c r="AE894" s="1227"/>
    </row>
    <row r="895" spans="28:31">
      <c r="AB895" s="1227"/>
      <c r="AC895" s="1227"/>
      <c r="AD895" s="1227"/>
      <c r="AE895" s="1227"/>
    </row>
    <row r="896" spans="28:31">
      <c r="AB896" s="1227"/>
      <c r="AC896" s="1227"/>
      <c r="AD896" s="1227"/>
      <c r="AE896" s="1227"/>
    </row>
    <row r="897" spans="28:31">
      <c r="AB897" s="1227"/>
      <c r="AC897" s="1227"/>
      <c r="AD897" s="1227"/>
      <c r="AE897" s="1227"/>
    </row>
    <row r="898" spans="28:31">
      <c r="AB898" s="1227"/>
      <c r="AC898" s="1227"/>
      <c r="AD898" s="1227"/>
      <c r="AE898" s="1227"/>
    </row>
    <row r="899" spans="28:31">
      <c r="AB899" s="1227"/>
      <c r="AC899" s="1227"/>
      <c r="AD899" s="1227"/>
      <c r="AE899" s="1227"/>
    </row>
    <row r="900" spans="28:31">
      <c r="AB900" s="1227"/>
      <c r="AC900" s="1227"/>
      <c r="AD900" s="1227"/>
      <c r="AE900" s="1227"/>
    </row>
    <row r="901" spans="28:31">
      <c r="AB901" s="1227"/>
      <c r="AC901" s="1227"/>
      <c r="AD901" s="1227"/>
      <c r="AE901" s="1227"/>
    </row>
    <row r="902" spans="28:31">
      <c r="AB902" s="1227"/>
      <c r="AC902" s="1227"/>
      <c r="AD902" s="1227"/>
      <c r="AE902" s="1227"/>
    </row>
    <row r="903" spans="28:31">
      <c r="AB903" s="1227"/>
      <c r="AC903" s="1227"/>
      <c r="AD903" s="1227"/>
      <c r="AE903" s="1227"/>
    </row>
    <row r="904" spans="28:31">
      <c r="AB904" s="1227"/>
      <c r="AC904" s="1227"/>
      <c r="AD904" s="1227"/>
      <c r="AE904" s="1227"/>
    </row>
    <row r="905" spans="28:31">
      <c r="AB905" s="1227"/>
      <c r="AC905" s="1227"/>
      <c r="AD905" s="1227"/>
      <c r="AE905" s="1227"/>
    </row>
    <row r="906" spans="28:31">
      <c r="AB906" s="1227"/>
      <c r="AC906" s="1227"/>
      <c r="AD906" s="1227"/>
      <c r="AE906" s="1227"/>
    </row>
    <row r="907" spans="28:31">
      <c r="AB907" s="1227"/>
      <c r="AC907" s="1227"/>
      <c r="AD907" s="1227"/>
      <c r="AE907" s="1227"/>
    </row>
    <row r="908" spans="28:31">
      <c r="AB908" s="1227"/>
      <c r="AC908" s="1227"/>
      <c r="AD908" s="1227"/>
      <c r="AE908" s="1227"/>
    </row>
    <row r="909" spans="28:31">
      <c r="AB909" s="1227"/>
      <c r="AC909" s="1227"/>
      <c r="AD909" s="1227"/>
      <c r="AE909" s="1227"/>
    </row>
    <row r="910" spans="28:31">
      <c r="AB910" s="1227"/>
      <c r="AC910" s="1227"/>
      <c r="AD910" s="1227"/>
      <c r="AE910" s="1227"/>
    </row>
    <row r="911" spans="28:31">
      <c r="AB911" s="1227"/>
      <c r="AC911" s="1227"/>
      <c r="AD911" s="1227"/>
      <c r="AE911" s="1227"/>
    </row>
    <row r="912" spans="28:31">
      <c r="AB912" s="1227"/>
      <c r="AC912" s="1227"/>
      <c r="AD912" s="1227"/>
      <c r="AE912" s="1227"/>
    </row>
    <row r="913" spans="28:31">
      <c r="AB913" s="1227"/>
      <c r="AC913" s="1227"/>
      <c r="AD913" s="1227"/>
      <c r="AE913" s="1227"/>
    </row>
    <row r="914" spans="28:31">
      <c r="AB914" s="1227"/>
      <c r="AC914" s="1227"/>
      <c r="AD914" s="1227"/>
      <c r="AE914" s="1227"/>
    </row>
    <row r="915" spans="28:31">
      <c r="AB915" s="1227"/>
      <c r="AC915" s="1227"/>
      <c r="AD915" s="1227"/>
      <c r="AE915" s="1227"/>
    </row>
    <row r="916" spans="28:31">
      <c r="AB916" s="1227"/>
      <c r="AC916" s="1227"/>
      <c r="AD916" s="1227"/>
      <c r="AE916" s="1227"/>
    </row>
    <row r="917" spans="28:31">
      <c r="AB917" s="1227"/>
      <c r="AC917" s="1227"/>
      <c r="AD917" s="1227"/>
      <c r="AE917" s="1227"/>
    </row>
    <row r="918" spans="28:31">
      <c r="AB918" s="1227"/>
      <c r="AC918" s="1227"/>
      <c r="AD918" s="1227"/>
      <c r="AE918" s="1227"/>
    </row>
    <row r="919" spans="28:31">
      <c r="AB919" s="1227"/>
      <c r="AC919" s="1227"/>
      <c r="AD919" s="1227"/>
      <c r="AE919" s="1227"/>
    </row>
    <row r="920" spans="28:31">
      <c r="AB920" s="1227"/>
      <c r="AC920" s="1227"/>
      <c r="AD920" s="1227"/>
      <c r="AE920" s="1227"/>
    </row>
    <row r="921" spans="28:31">
      <c r="AB921" s="1227"/>
      <c r="AC921" s="1227"/>
      <c r="AD921" s="1227"/>
      <c r="AE921" s="1227"/>
    </row>
    <row r="922" spans="28:31">
      <c r="AB922" s="1227"/>
      <c r="AC922" s="1227"/>
      <c r="AD922" s="1227"/>
      <c r="AE922" s="1227"/>
    </row>
    <row r="923" spans="28:31">
      <c r="AB923" s="1227"/>
      <c r="AC923" s="1227"/>
      <c r="AD923" s="1227"/>
      <c r="AE923" s="1227"/>
    </row>
    <row r="924" spans="28:31">
      <c r="AB924" s="1227"/>
      <c r="AC924" s="1227"/>
      <c r="AD924" s="1227"/>
      <c r="AE924" s="1227"/>
    </row>
    <row r="925" spans="28:31">
      <c r="AB925" s="1227"/>
      <c r="AC925" s="1227"/>
      <c r="AD925" s="1227"/>
      <c r="AE925" s="1227"/>
    </row>
    <row r="926" spans="28:31">
      <c r="AB926" s="1227"/>
      <c r="AC926" s="1227"/>
      <c r="AD926" s="1227"/>
      <c r="AE926" s="1227"/>
    </row>
    <row r="927" spans="28:31">
      <c r="AB927" s="1227"/>
      <c r="AC927" s="1227"/>
      <c r="AD927" s="1227"/>
      <c r="AE927" s="1227"/>
    </row>
    <row r="928" spans="28:31">
      <c r="AB928" s="1227"/>
      <c r="AC928" s="1227"/>
      <c r="AD928" s="1227"/>
      <c r="AE928" s="1227"/>
    </row>
    <row r="929" spans="28:31">
      <c r="AB929" s="1227"/>
      <c r="AC929" s="1227"/>
      <c r="AD929" s="1227"/>
      <c r="AE929" s="1227"/>
    </row>
    <row r="930" spans="28:31">
      <c r="AB930" s="1227"/>
      <c r="AC930" s="1227"/>
      <c r="AD930" s="1227"/>
      <c r="AE930" s="1227"/>
    </row>
    <row r="931" spans="28:31">
      <c r="AB931" s="1227"/>
      <c r="AC931" s="1227"/>
      <c r="AD931" s="1227"/>
      <c r="AE931" s="1227"/>
    </row>
    <row r="932" spans="28:31">
      <c r="AB932" s="1227"/>
      <c r="AC932" s="1227"/>
      <c r="AD932" s="1227"/>
      <c r="AE932" s="1227"/>
    </row>
    <row r="933" spans="28:31">
      <c r="AB933" s="1227"/>
      <c r="AC933" s="1227"/>
      <c r="AD933" s="1227"/>
      <c r="AE933" s="1227"/>
    </row>
    <row r="934" spans="28:31">
      <c r="AB934" s="1227"/>
      <c r="AC934" s="1227"/>
      <c r="AD934" s="1227"/>
      <c r="AE934" s="1227"/>
    </row>
    <row r="935" spans="28:31">
      <c r="AB935" s="1227"/>
      <c r="AC935" s="1227"/>
      <c r="AD935" s="1227"/>
      <c r="AE935" s="1227"/>
    </row>
    <row r="936" spans="28:31">
      <c r="AB936" s="1227"/>
      <c r="AC936" s="1227"/>
      <c r="AD936" s="1227"/>
      <c r="AE936" s="1227"/>
    </row>
    <row r="937" spans="28:31">
      <c r="AB937" s="1227"/>
      <c r="AC937" s="1227"/>
      <c r="AD937" s="1227"/>
      <c r="AE937" s="1227"/>
    </row>
    <row r="938" spans="28:31">
      <c r="AB938" s="1227"/>
      <c r="AC938" s="1227"/>
      <c r="AD938" s="1227"/>
      <c r="AE938" s="1227"/>
    </row>
    <row r="939" spans="28:31">
      <c r="AB939" s="1227"/>
      <c r="AC939" s="1227"/>
      <c r="AD939" s="1227"/>
      <c r="AE939" s="1227"/>
    </row>
    <row r="940" spans="28:31">
      <c r="AB940" s="1227"/>
      <c r="AC940" s="1227"/>
      <c r="AD940" s="1227"/>
      <c r="AE940" s="1227"/>
    </row>
    <row r="941" spans="28:31">
      <c r="AB941" s="1227"/>
      <c r="AC941" s="1227"/>
      <c r="AD941" s="1227"/>
      <c r="AE941" s="1227"/>
    </row>
    <row r="942" spans="28:31">
      <c r="AB942" s="1227"/>
      <c r="AC942" s="1227"/>
      <c r="AD942" s="1227"/>
      <c r="AE942" s="1227"/>
    </row>
    <row r="943" spans="28:31">
      <c r="AB943" s="1227"/>
      <c r="AC943" s="1227"/>
      <c r="AD943" s="1227"/>
      <c r="AE943" s="1227"/>
    </row>
    <row r="944" spans="28:31">
      <c r="AB944" s="1227"/>
      <c r="AC944" s="1227"/>
      <c r="AD944" s="1227"/>
      <c r="AE944" s="1227"/>
    </row>
    <row r="945" spans="28:31">
      <c r="AB945" s="1227"/>
      <c r="AC945" s="1227"/>
      <c r="AD945" s="1227"/>
      <c r="AE945" s="1227"/>
    </row>
    <row r="946" spans="28:31">
      <c r="AB946" s="1227"/>
      <c r="AC946" s="1227"/>
      <c r="AD946" s="1227"/>
      <c r="AE946" s="1227"/>
    </row>
    <row r="947" spans="28:31">
      <c r="AB947" s="1227"/>
      <c r="AC947" s="1227"/>
      <c r="AD947" s="1227"/>
      <c r="AE947" s="1227"/>
    </row>
    <row r="948" spans="28:31">
      <c r="AB948" s="1227"/>
      <c r="AC948" s="1227"/>
      <c r="AD948" s="1227"/>
      <c r="AE948" s="1227"/>
    </row>
    <row r="949" spans="28:31">
      <c r="AB949" s="1227"/>
      <c r="AC949" s="1227"/>
      <c r="AD949" s="1227"/>
      <c r="AE949" s="1227"/>
    </row>
    <row r="950" spans="28:31">
      <c r="AB950" s="1227"/>
      <c r="AC950" s="1227"/>
      <c r="AD950" s="1227"/>
      <c r="AE950" s="1227"/>
    </row>
    <row r="951" spans="28:31">
      <c r="AB951" s="1227"/>
      <c r="AC951" s="1227"/>
      <c r="AD951" s="1227"/>
      <c r="AE951" s="1227"/>
    </row>
    <row r="952" spans="28:31">
      <c r="AB952" s="1227"/>
      <c r="AC952" s="1227"/>
      <c r="AD952" s="1227"/>
      <c r="AE952" s="1227"/>
    </row>
    <row r="953" spans="28:31">
      <c r="AB953" s="1227"/>
      <c r="AC953" s="1227"/>
      <c r="AD953" s="1227"/>
      <c r="AE953" s="1227"/>
    </row>
    <row r="954" spans="28:31">
      <c r="AB954" s="1227"/>
      <c r="AC954" s="1227"/>
      <c r="AD954" s="1227"/>
      <c r="AE954" s="1227"/>
    </row>
    <row r="955" spans="28:31">
      <c r="AB955" s="1227"/>
      <c r="AC955" s="1227"/>
      <c r="AD955" s="1227"/>
      <c r="AE955" s="1227"/>
    </row>
    <row r="956" spans="28:31">
      <c r="AB956" s="1227"/>
      <c r="AC956" s="1227"/>
      <c r="AD956" s="1227"/>
      <c r="AE956" s="1227"/>
    </row>
    <row r="957" spans="28:31">
      <c r="AB957" s="1227"/>
      <c r="AC957" s="1227"/>
      <c r="AD957" s="1227"/>
      <c r="AE957" s="1227"/>
    </row>
    <row r="958" spans="28:31">
      <c r="AB958" s="1227"/>
      <c r="AC958" s="1227"/>
      <c r="AD958" s="1227"/>
      <c r="AE958" s="1227"/>
    </row>
    <row r="959" spans="28:31">
      <c r="AB959" s="1227"/>
      <c r="AC959" s="1227"/>
      <c r="AD959" s="1227"/>
      <c r="AE959" s="1227"/>
    </row>
    <row r="960" spans="28:31">
      <c r="AB960" s="1227"/>
      <c r="AC960" s="1227"/>
      <c r="AD960" s="1227"/>
      <c r="AE960" s="1227"/>
    </row>
    <row r="961" spans="28:31">
      <c r="AB961" s="1227"/>
      <c r="AC961" s="1227"/>
      <c r="AD961" s="1227"/>
      <c r="AE961" s="1227"/>
    </row>
    <row r="962" spans="28:31">
      <c r="AB962" s="1227"/>
      <c r="AC962" s="1227"/>
      <c r="AD962" s="1227"/>
      <c r="AE962" s="1227"/>
    </row>
    <row r="963" spans="28:31">
      <c r="AB963" s="1227"/>
      <c r="AC963" s="1227"/>
      <c r="AD963" s="1227"/>
      <c r="AE963" s="1227"/>
    </row>
    <row r="964" spans="28:31">
      <c r="AB964" s="1227"/>
      <c r="AC964" s="1227"/>
      <c r="AD964" s="1227"/>
      <c r="AE964" s="1227"/>
    </row>
    <row r="965" spans="28:31">
      <c r="AB965" s="1227"/>
      <c r="AC965" s="1227"/>
      <c r="AD965" s="1227"/>
      <c r="AE965" s="1227"/>
    </row>
    <row r="966" spans="28:31">
      <c r="AB966" s="1227"/>
      <c r="AC966" s="1227"/>
      <c r="AD966" s="1227"/>
      <c r="AE966" s="1227"/>
    </row>
    <row r="967" spans="28:31">
      <c r="AB967" s="1227"/>
      <c r="AC967" s="1227"/>
      <c r="AD967" s="1227"/>
      <c r="AE967" s="1227"/>
    </row>
    <row r="968" spans="28:31">
      <c r="AB968" s="1227"/>
      <c r="AC968" s="1227"/>
      <c r="AD968" s="1227"/>
      <c r="AE968" s="1227"/>
    </row>
    <row r="969" spans="28:31">
      <c r="AB969" s="1227"/>
      <c r="AC969" s="1227"/>
      <c r="AD969" s="1227"/>
      <c r="AE969" s="1227"/>
    </row>
    <row r="970" spans="28:31">
      <c r="AB970" s="1227"/>
      <c r="AC970" s="1227"/>
      <c r="AD970" s="1227"/>
      <c r="AE970" s="1227"/>
    </row>
    <row r="971" spans="28:31">
      <c r="AB971" s="1227"/>
      <c r="AC971" s="1227"/>
      <c r="AD971" s="1227"/>
      <c r="AE971" s="1227"/>
    </row>
    <row r="972" spans="28:31">
      <c r="AB972" s="1227"/>
      <c r="AC972" s="1227"/>
      <c r="AD972" s="1227"/>
      <c r="AE972" s="1227"/>
    </row>
    <row r="973" spans="28:31">
      <c r="AB973" s="1227"/>
      <c r="AC973" s="1227"/>
      <c r="AD973" s="1227"/>
      <c r="AE973" s="1227"/>
    </row>
    <row r="974" spans="28:31">
      <c r="AB974" s="1227"/>
      <c r="AC974" s="1227"/>
      <c r="AD974" s="1227"/>
      <c r="AE974" s="1227"/>
    </row>
    <row r="975" spans="28:31">
      <c r="AB975" s="1227"/>
      <c r="AC975" s="1227"/>
      <c r="AD975" s="1227"/>
      <c r="AE975" s="1227"/>
    </row>
    <row r="976" spans="28:31">
      <c r="AB976" s="1227"/>
      <c r="AC976" s="1227"/>
      <c r="AD976" s="1227"/>
      <c r="AE976" s="1227"/>
    </row>
    <row r="977" spans="28:31">
      <c r="AB977" s="1227"/>
      <c r="AC977" s="1227"/>
      <c r="AD977" s="1227"/>
      <c r="AE977" s="1227"/>
    </row>
    <row r="978" spans="28:31">
      <c r="AB978" s="1227"/>
      <c r="AC978" s="1227"/>
      <c r="AD978" s="1227"/>
      <c r="AE978" s="1227"/>
    </row>
    <row r="979" spans="28:31">
      <c r="AB979" s="1227"/>
      <c r="AC979" s="1227"/>
      <c r="AD979" s="1227"/>
      <c r="AE979" s="1227"/>
    </row>
    <row r="980" spans="28:31">
      <c r="AB980" s="1227"/>
      <c r="AC980" s="1227"/>
      <c r="AD980" s="1227"/>
      <c r="AE980" s="1227"/>
    </row>
    <row r="981" spans="28:31">
      <c r="AB981" s="1227"/>
      <c r="AC981" s="1227"/>
      <c r="AD981" s="1227"/>
      <c r="AE981" s="1227"/>
    </row>
    <row r="982" spans="28:31">
      <c r="AB982" s="1227"/>
      <c r="AC982" s="1227"/>
      <c r="AD982" s="1227"/>
      <c r="AE982" s="1227"/>
    </row>
    <row r="983" spans="28:31">
      <c r="AB983" s="1227"/>
      <c r="AC983" s="1227"/>
      <c r="AD983" s="1227"/>
      <c r="AE983" s="1227"/>
    </row>
    <row r="984" spans="28:31">
      <c r="AB984" s="1227"/>
      <c r="AC984" s="1227"/>
      <c r="AD984" s="1227"/>
      <c r="AE984" s="1227"/>
    </row>
    <row r="985" spans="28:31">
      <c r="AB985" s="1227"/>
      <c r="AC985" s="1227"/>
      <c r="AD985" s="1227"/>
      <c r="AE985" s="1227"/>
    </row>
    <row r="986" spans="28:31">
      <c r="AB986" s="1227"/>
      <c r="AC986" s="1227"/>
      <c r="AD986" s="1227"/>
      <c r="AE986" s="1227"/>
    </row>
    <row r="987" spans="28:31">
      <c r="AB987" s="1227"/>
      <c r="AC987" s="1227"/>
      <c r="AD987" s="1227"/>
      <c r="AE987" s="1227"/>
    </row>
    <row r="988" spans="28:31">
      <c r="AB988" s="1227"/>
      <c r="AC988" s="1227"/>
      <c r="AD988" s="1227"/>
      <c r="AE988" s="1227"/>
    </row>
    <row r="989" spans="28:31">
      <c r="AB989" s="1227"/>
      <c r="AC989" s="1227"/>
      <c r="AD989" s="1227"/>
      <c r="AE989" s="1227"/>
    </row>
    <row r="990" spans="28:31">
      <c r="AB990" s="1227"/>
      <c r="AC990" s="1227"/>
      <c r="AD990" s="1227"/>
      <c r="AE990" s="1227"/>
    </row>
    <row r="991" spans="28:31">
      <c r="AB991" s="1227"/>
      <c r="AC991" s="1227"/>
      <c r="AD991" s="1227"/>
      <c r="AE991" s="1227"/>
    </row>
    <row r="992" spans="28:31">
      <c r="AB992" s="1227"/>
      <c r="AC992" s="1227"/>
      <c r="AD992" s="1227"/>
      <c r="AE992" s="1227"/>
    </row>
    <row r="993" spans="28:31">
      <c r="AB993" s="1227"/>
      <c r="AC993" s="1227"/>
      <c r="AD993" s="1227"/>
      <c r="AE993" s="1227"/>
    </row>
    <row r="994" spans="28:31">
      <c r="AB994" s="1227"/>
      <c r="AC994" s="1227"/>
      <c r="AD994" s="1227"/>
      <c r="AE994" s="1227"/>
    </row>
    <row r="995" spans="28:31">
      <c r="AB995" s="1227"/>
      <c r="AC995" s="1227"/>
      <c r="AD995" s="1227"/>
      <c r="AE995" s="1227"/>
    </row>
    <row r="996" spans="28:31">
      <c r="AB996" s="1227"/>
      <c r="AC996" s="1227"/>
      <c r="AD996" s="1227"/>
      <c r="AE996" s="1227"/>
    </row>
    <row r="997" spans="28:31">
      <c r="AB997" s="1227"/>
      <c r="AC997" s="1227"/>
      <c r="AD997" s="1227"/>
      <c r="AE997" s="1227"/>
    </row>
    <row r="998" spans="28:31">
      <c r="AB998" s="1227"/>
      <c r="AC998" s="1227"/>
      <c r="AD998" s="1227"/>
      <c r="AE998" s="1227"/>
    </row>
    <row r="999" spans="28:31">
      <c r="AB999" s="1227"/>
      <c r="AC999" s="1227"/>
      <c r="AD999" s="1227"/>
      <c r="AE999" s="1227"/>
    </row>
    <row r="1000" spans="28:31">
      <c r="AB1000" s="1227"/>
      <c r="AC1000" s="1227"/>
      <c r="AD1000" s="1227"/>
      <c r="AE1000" s="1227"/>
    </row>
    <row r="1001" spans="28:31">
      <c r="AB1001" s="1227"/>
      <c r="AC1001" s="1227"/>
      <c r="AD1001" s="1227"/>
      <c r="AE1001" s="1227"/>
    </row>
    <row r="1002" spans="28:31">
      <c r="AB1002" s="1227"/>
      <c r="AC1002" s="1227"/>
      <c r="AD1002" s="1227"/>
      <c r="AE1002" s="1227"/>
    </row>
    <row r="1003" spans="28:31">
      <c r="AB1003" s="1227"/>
      <c r="AC1003" s="1227"/>
      <c r="AD1003" s="1227"/>
      <c r="AE1003" s="1227"/>
    </row>
    <row r="1004" spans="28:31">
      <c r="AB1004" s="1227"/>
      <c r="AC1004" s="1227"/>
      <c r="AD1004" s="1227"/>
      <c r="AE1004" s="1227"/>
    </row>
    <row r="1005" spans="28:31">
      <c r="AB1005" s="1227"/>
      <c r="AC1005" s="1227"/>
      <c r="AD1005" s="1227"/>
      <c r="AE1005" s="1227"/>
    </row>
    <row r="1006" spans="28:31">
      <c r="AB1006" s="1227"/>
      <c r="AC1006" s="1227"/>
      <c r="AD1006" s="1227"/>
      <c r="AE1006" s="1227"/>
    </row>
    <row r="1007" spans="28:31">
      <c r="AB1007" s="1227"/>
      <c r="AC1007" s="1227"/>
      <c r="AD1007" s="1227"/>
      <c r="AE1007" s="1227"/>
    </row>
    <row r="1008" spans="28:31">
      <c r="AB1008" s="1227"/>
      <c r="AC1008" s="1227"/>
      <c r="AD1008" s="1227"/>
      <c r="AE1008" s="1227"/>
    </row>
    <row r="1009" spans="28:31">
      <c r="AB1009" s="1227"/>
      <c r="AC1009" s="1227"/>
      <c r="AD1009" s="1227"/>
      <c r="AE1009" s="1227"/>
    </row>
    <row r="1010" spans="28:31">
      <c r="AB1010" s="1227"/>
      <c r="AC1010" s="1227"/>
      <c r="AD1010" s="1227"/>
      <c r="AE1010" s="1227"/>
    </row>
    <row r="1011" spans="28:31">
      <c r="AB1011" s="1227"/>
      <c r="AC1011" s="1227"/>
      <c r="AD1011" s="1227"/>
      <c r="AE1011" s="1227"/>
    </row>
    <row r="1012" spans="28:31">
      <c r="AB1012" s="1227"/>
      <c r="AC1012" s="1227"/>
      <c r="AD1012" s="1227"/>
      <c r="AE1012" s="1227"/>
    </row>
    <row r="1013" spans="28:31">
      <c r="AB1013" s="1227"/>
      <c r="AC1013" s="1227"/>
      <c r="AD1013" s="1227"/>
      <c r="AE1013" s="1227"/>
    </row>
    <row r="1014" spans="28:31">
      <c r="AB1014" s="1227"/>
      <c r="AC1014" s="1227"/>
      <c r="AD1014" s="1227"/>
      <c r="AE1014" s="1227"/>
    </row>
    <row r="1015" spans="28:31">
      <c r="AB1015" s="1227"/>
      <c r="AC1015" s="1227"/>
      <c r="AD1015" s="1227"/>
      <c r="AE1015" s="1227"/>
    </row>
    <row r="1016" spans="28:31">
      <c r="AB1016" s="1227"/>
      <c r="AC1016" s="1227"/>
      <c r="AD1016" s="1227"/>
      <c r="AE1016" s="1227"/>
    </row>
    <row r="1017" spans="28:31">
      <c r="AB1017" s="1227"/>
      <c r="AC1017" s="1227"/>
      <c r="AD1017" s="1227"/>
      <c r="AE1017" s="1227"/>
    </row>
    <row r="1018" spans="28:31">
      <c r="AB1018" s="1227"/>
      <c r="AC1018" s="1227"/>
      <c r="AD1018" s="1227"/>
      <c r="AE1018" s="1227"/>
    </row>
    <row r="1019" spans="28:31">
      <c r="AB1019" s="1227"/>
      <c r="AC1019" s="1227"/>
      <c r="AD1019" s="1227"/>
      <c r="AE1019" s="1227"/>
    </row>
    <row r="1020" spans="28:31">
      <c r="AB1020" s="1227"/>
      <c r="AC1020" s="1227"/>
      <c r="AD1020" s="1227"/>
      <c r="AE1020" s="1227"/>
    </row>
    <row r="1021" spans="28:31">
      <c r="AB1021" s="1227"/>
      <c r="AC1021" s="1227"/>
      <c r="AD1021" s="1227"/>
      <c r="AE1021" s="1227"/>
    </row>
    <row r="1022" spans="28:31">
      <c r="AB1022" s="1227"/>
      <c r="AC1022" s="1227"/>
      <c r="AD1022" s="1227"/>
      <c r="AE1022" s="1227"/>
    </row>
    <row r="1023" spans="28:31">
      <c r="AB1023" s="1227"/>
      <c r="AC1023" s="1227"/>
      <c r="AD1023" s="1227"/>
      <c r="AE1023" s="1227"/>
    </row>
    <row r="1024" spans="28:31">
      <c r="AB1024" s="1227"/>
      <c r="AC1024" s="1227"/>
      <c r="AD1024" s="1227"/>
      <c r="AE1024" s="1227"/>
    </row>
    <row r="1025" spans="28:31">
      <c r="AB1025" s="1227"/>
      <c r="AC1025" s="1227"/>
      <c r="AD1025" s="1227"/>
      <c r="AE1025" s="1227"/>
    </row>
    <row r="1026" spans="28:31">
      <c r="AB1026" s="1227"/>
      <c r="AC1026" s="1227"/>
      <c r="AD1026" s="1227"/>
      <c r="AE1026" s="1227"/>
    </row>
    <row r="1027" spans="28:31">
      <c r="AB1027" s="1227"/>
      <c r="AC1027" s="1227"/>
      <c r="AD1027" s="1227"/>
      <c r="AE1027" s="1227"/>
    </row>
    <row r="1028" spans="28:31">
      <c r="AB1028" s="1227"/>
      <c r="AC1028" s="1227"/>
      <c r="AD1028" s="1227"/>
      <c r="AE1028" s="1227"/>
    </row>
    <row r="1029" spans="28:31">
      <c r="AB1029" s="1227"/>
      <c r="AC1029" s="1227"/>
      <c r="AD1029" s="1227"/>
      <c r="AE1029" s="1227"/>
    </row>
    <row r="1030" spans="28:31">
      <c r="AB1030" s="1227"/>
      <c r="AC1030" s="1227"/>
      <c r="AD1030" s="1227"/>
      <c r="AE1030" s="1227"/>
    </row>
    <row r="1031" spans="28:31">
      <c r="AB1031" s="1227"/>
      <c r="AC1031" s="1227"/>
      <c r="AD1031" s="1227"/>
      <c r="AE1031" s="1227"/>
    </row>
    <row r="1032" spans="28:31">
      <c r="AB1032" s="1227"/>
      <c r="AC1032" s="1227"/>
      <c r="AD1032" s="1227"/>
      <c r="AE1032" s="1227"/>
    </row>
    <row r="1033" spans="28:31">
      <c r="AB1033" s="1227"/>
      <c r="AC1033" s="1227"/>
      <c r="AD1033" s="1227"/>
      <c r="AE1033" s="1227"/>
    </row>
    <row r="1034" spans="28:31">
      <c r="AB1034" s="1227"/>
      <c r="AC1034" s="1227"/>
      <c r="AD1034" s="1227"/>
      <c r="AE1034" s="1227"/>
    </row>
    <row r="1035" spans="28:31">
      <c r="AB1035" s="1227"/>
      <c r="AC1035" s="1227"/>
      <c r="AD1035" s="1227"/>
      <c r="AE1035" s="1227"/>
    </row>
    <row r="1036" spans="28:31">
      <c r="AB1036" s="1227"/>
      <c r="AC1036" s="1227"/>
      <c r="AD1036" s="1227"/>
      <c r="AE1036" s="1227"/>
    </row>
    <row r="1037" spans="28:31">
      <c r="AB1037" s="1227"/>
      <c r="AC1037" s="1227"/>
      <c r="AD1037" s="1227"/>
      <c r="AE1037" s="1227"/>
    </row>
    <row r="1038" spans="28:31">
      <c r="AB1038" s="1227"/>
      <c r="AC1038" s="1227"/>
      <c r="AD1038" s="1227"/>
      <c r="AE1038" s="1227"/>
    </row>
    <row r="1039" spans="28:31">
      <c r="AB1039" s="1227"/>
      <c r="AC1039" s="1227"/>
      <c r="AD1039" s="1227"/>
      <c r="AE1039" s="1227"/>
    </row>
    <row r="1040" spans="28:31">
      <c r="AB1040" s="1227"/>
      <c r="AC1040" s="1227"/>
      <c r="AD1040" s="1227"/>
      <c r="AE1040" s="1227"/>
    </row>
    <row r="1041" spans="28:31">
      <c r="AB1041" s="1227"/>
      <c r="AC1041" s="1227"/>
      <c r="AD1041" s="1227"/>
      <c r="AE1041" s="1227"/>
    </row>
    <row r="1042" spans="28:31">
      <c r="AB1042" s="1227"/>
      <c r="AC1042" s="1227"/>
      <c r="AD1042" s="1227"/>
      <c r="AE1042" s="1227"/>
    </row>
    <row r="1043" spans="28:31">
      <c r="AB1043" s="1227"/>
      <c r="AC1043" s="1227"/>
      <c r="AD1043" s="1227"/>
      <c r="AE1043" s="1227"/>
    </row>
    <row r="1044" spans="28:31">
      <c r="AB1044" s="1227"/>
      <c r="AC1044" s="1227"/>
      <c r="AD1044" s="1227"/>
      <c r="AE1044" s="1227"/>
    </row>
    <row r="1045" spans="28:31">
      <c r="AB1045" s="1227"/>
      <c r="AC1045" s="1227"/>
      <c r="AD1045" s="1227"/>
      <c r="AE1045" s="1227"/>
    </row>
    <row r="1046" spans="28:31">
      <c r="AB1046" s="1227"/>
      <c r="AC1046" s="1227"/>
      <c r="AD1046" s="1227"/>
      <c r="AE1046" s="1227"/>
    </row>
    <row r="1047" spans="28:31">
      <c r="AB1047" s="1227"/>
      <c r="AC1047" s="1227"/>
      <c r="AD1047" s="1227"/>
      <c r="AE1047" s="1227"/>
    </row>
    <row r="1048" spans="28:31">
      <c r="AB1048" s="1227"/>
      <c r="AC1048" s="1227"/>
      <c r="AD1048" s="1227"/>
      <c r="AE1048" s="1227"/>
    </row>
    <row r="1049" spans="28:31">
      <c r="AB1049" s="1227"/>
      <c r="AC1049" s="1227"/>
      <c r="AD1049" s="1227"/>
      <c r="AE1049" s="1227"/>
    </row>
    <row r="1050" spans="28:31">
      <c r="AB1050" s="1227"/>
      <c r="AC1050" s="1227"/>
      <c r="AD1050" s="1227"/>
      <c r="AE1050" s="1227"/>
    </row>
    <row r="1051" spans="28:31">
      <c r="AB1051" s="1227"/>
      <c r="AC1051" s="1227"/>
      <c r="AD1051" s="1227"/>
      <c r="AE1051" s="1227"/>
    </row>
    <row r="1052" spans="28:31">
      <c r="AB1052" s="1227"/>
      <c r="AC1052" s="1227"/>
      <c r="AD1052" s="1227"/>
      <c r="AE1052" s="1227"/>
    </row>
    <row r="1053" spans="28:31">
      <c r="AB1053" s="1227"/>
      <c r="AC1053" s="1227"/>
      <c r="AD1053" s="1227"/>
      <c r="AE1053" s="1227"/>
    </row>
    <row r="1054" spans="28:31">
      <c r="AB1054" s="1227"/>
      <c r="AC1054" s="1227"/>
      <c r="AD1054" s="1227"/>
      <c r="AE1054" s="1227"/>
    </row>
    <row r="1055" spans="28:31">
      <c r="AB1055" s="1227"/>
      <c r="AC1055" s="1227"/>
      <c r="AD1055" s="1227"/>
      <c r="AE1055" s="1227"/>
    </row>
    <row r="1056" spans="28:31">
      <c r="AB1056" s="1227"/>
      <c r="AC1056" s="1227"/>
      <c r="AD1056" s="1227"/>
      <c r="AE1056" s="1227"/>
    </row>
    <row r="1057" spans="28:31">
      <c r="AB1057" s="1227"/>
      <c r="AC1057" s="1227"/>
      <c r="AD1057" s="1227"/>
      <c r="AE1057" s="1227"/>
    </row>
    <row r="1058" spans="28:31">
      <c r="AB1058" s="1227"/>
      <c r="AC1058" s="1227"/>
      <c r="AD1058" s="1227"/>
      <c r="AE1058" s="1227"/>
    </row>
    <row r="1059" spans="28:31">
      <c r="AB1059" s="1227"/>
      <c r="AC1059" s="1227"/>
      <c r="AD1059" s="1227"/>
      <c r="AE1059" s="1227"/>
    </row>
    <row r="1060" spans="28:31">
      <c r="AB1060" s="1227"/>
      <c r="AC1060" s="1227"/>
      <c r="AD1060" s="1227"/>
      <c r="AE1060" s="1227"/>
    </row>
    <row r="1061" spans="28:31">
      <c r="AB1061" s="1227"/>
      <c r="AC1061" s="1227"/>
      <c r="AD1061" s="1227"/>
      <c r="AE1061" s="1227"/>
    </row>
    <row r="1062" spans="28:31">
      <c r="AB1062" s="1227"/>
      <c r="AC1062" s="1227"/>
      <c r="AD1062" s="1227"/>
      <c r="AE1062" s="1227"/>
    </row>
    <row r="1063" spans="28:31">
      <c r="AB1063" s="1227"/>
      <c r="AC1063" s="1227"/>
      <c r="AD1063" s="1227"/>
      <c r="AE1063" s="1227"/>
    </row>
    <row r="1064" spans="28:31">
      <c r="AB1064" s="1227"/>
      <c r="AC1064" s="1227"/>
      <c r="AD1064" s="1227"/>
      <c r="AE1064" s="1227"/>
    </row>
    <row r="1065" spans="28:31">
      <c r="AB1065" s="1227"/>
      <c r="AC1065" s="1227"/>
      <c r="AD1065" s="1227"/>
      <c r="AE1065" s="1227"/>
    </row>
    <row r="1066" spans="28:31">
      <c r="AB1066" s="1227"/>
      <c r="AC1066" s="1227"/>
      <c r="AD1066" s="1227"/>
      <c r="AE1066" s="1227"/>
    </row>
    <row r="1067" spans="28:31">
      <c r="AB1067" s="1227"/>
      <c r="AC1067" s="1227"/>
      <c r="AD1067" s="1227"/>
      <c r="AE1067" s="1227"/>
    </row>
    <row r="1068" spans="28:31">
      <c r="AB1068" s="1227"/>
      <c r="AC1068" s="1227"/>
      <c r="AD1068" s="1227"/>
      <c r="AE1068" s="1227"/>
    </row>
    <row r="1069" spans="28:31">
      <c r="AB1069" s="1227"/>
      <c r="AC1069" s="1227"/>
      <c r="AD1069" s="1227"/>
      <c r="AE1069" s="1227"/>
    </row>
    <row r="1070" spans="28:31">
      <c r="AB1070" s="1227"/>
      <c r="AC1070" s="1227"/>
      <c r="AD1070" s="1227"/>
      <c r="AE1070" s="1227"/>
    </row>
    <row r="1071" spans="28:31">
      <c r="AB1071" s="1227"/>
      <c r="AC1071" s="1227"/>
      <c r="AD1071" s="1227"/>
      <c r="AE1071" s="1227"/>
    </row>
    <row r="1072" spans="28:31">
      <c r="AB1072" s="1227"/>
      <c r="AC1072" s="1227"/>
      <c r="AD1072" s="1227"/>
      <c r="AE1072" s="1227"/>
    </row>
    <row r="1073" spans="28:31">
      <c r="AB1073" s="1227"/>
      <c r="AC1073" s="1227"/>
      <c r="AD1073" s="1227"/>
      <c r="AE1073" s="1227"/>
    </row>
    <row r="1074" spans="28:31">
      <c r="AB1074" s="1227"/>
      <c r="AC1074" s="1227"/>
      <c r="AD1074" s="1227"/>
      <c r="AE1074" s="1227"/>
    </row>
    <row r="1075" spans="28:31">
      <c r="AB1075" s="1227"/>
      <c r="AC1075" s="1227"/>
      <c r="AD1075" s="1227"/>
      <c r="AE1075" s="1227"/>
    </row>
    <row r="1076" spans="28:31">
      <c r="AB1076" s="1227"/>
      <c r="AC1076" s="1227"/>
      <c r="AD1076" s="1227"/>
      <c r="AE1076" s="1227"/>
    </row>
    <row r="1077" spans="28:31">
      <c r="AB1077" s="1227"/>
      <c r="AC1077" s="1227"/>
      <c r="AD1077" s="1227"/>
      <c r="AE1077" s="1227"/>
    </row>
    <row r="1078" spans="28:31">
      <c r="AB1078" s="1227"/>
      <c r="AC1078" s="1227"/>
      <c r="AD1078" s="1227"/>
      <c r="AE1078" s="1227"/>
    </row>
    <row r="1079" spans="28:31">
      <c r="AB1079" s="1227"/>
      <c r="AC1079" s="1227"/>
      <c r="AD1079" s="1227"/>
      <c r="AE1079" s="1227"/>
    </row>
    <row r="1080" spans="28:31">
      <c r="AB1080" s="1227"/>
      <c r="AC1080" s="1227"/>
      <c r="AD1080" s="1227"/>
      <c r="AE1080" s="1227"/>
    </row>
    <row r="1081" spans="28:31">
      <c r="AB1081" s="1227"/>
      <c r="AC1081" s="1227"/>
      <c r="AD1081" s="1227"/>
      <c r="AE1081" s="1227"/>
    </row>
    <row r="1082" spans="28:31">
      <c r="AB1082" s="1227"/>
      <c r="AC1082" s="1227"/>
      <c r="AD1082" s="1227"/>
      <c r="AE1082" s="1227"/>
    </row>
    <row r="1083" spans="28:31">
      <c r="AB1083" s="1227"/>
      <c r="AC1083" s="1227"/>
      <c r="AD1083" s="1227"/>
      <c r="AE1083" s="1227"/>
    </row>
    <row r="1084" spans="28:31">
      <c r="AB1084" s="1227"/>
      <c r="AC1084" s="1227"/>
      <c r="AD1084" s="1227"/>
      <c r="AE1084" s="1227"/>
    </row>
    <row r="1085" spans="28:31">
      <c r="AB1085" s="1227"/>
      <c r="AC1085" s="1227"/>
      <c r="AD1085" s="1227"/>
      <c r="AE1085" s="1227"/>
    </row>
    <row r="1086" spans="28:31">
      <c r="AB1086" s="1227"/>
      <c r="AC1086" s="1227"/>
      <c r="AD1086" s="1227"/>
      <c r="AE1086" s="1227"/>
    </row>
    <row r="1087" spans="28:31">
      <c r="AB1087" s="1227"/>
      <c r="AC1087" s="1227"/>
      <c r="AD1087" s="1227"/>
      <c r="AE1087" s="1227"/>
    </row>
    <row r="1088" spans="28:31">
      <c r="AB1088" s="1227"/>
      <c r="AC1088" s="1227"/>
      <c r="AD1088" s="1227"/>
      <c r="AE1088" s="1227"/>
    </row>
    <row r="1089" spans="28:31">
      <c r="AB1089" s="1227"/>
      <c r="AC1089" s="1227"/>
      <c r="AD1089" s="1227"/>
      <c r="AE1089" s="1227"/>
    </row>
    <row r="1090" spans="28:31">
      <c r="AB1090" s="1227"/>
      <c r="AC1090" s="1227"/>
      <c r="AD1090" s="1227"/>
      <c r="AE1090" s="1227"/>
    </row>
    <row r="1091" spans="28:31">
      <c r="AB1091" s="1227"/>
      <c r="AC1091" s="1227"/>
      <c r="AD1091" s="1227"/>
      <c r="AE1091" s="1227"/>
    </row>
    <row r="1092" spans="28:31">
      <c r="AB1092" s="1227"/>
      <c r="AC1092" s="1227"/>
      <c r="AD1092" s="1227"/>
      <c r="AE1092" s="1227"/>
    </row>
    <row r="1093" spans="28:31">
      <c r="AB1093" s="1227"/>
      <c r="AC1093" s="1227"/>
      <c r="AD1093" s="1227"/>
      <c r="AE1093" s="1227"/>
    </row>
    <row r="1094" spans="28:31">
      <c r="AB1094" s="1227"/>
      <c r="AC1094" s="1227"/>
      <c r="AD1094" s="1227"/>
      <c r="AE1094" s="1227"/>
    </row>
    <row r="1095" spans="28:31">
      <c r="AB1095" s="1227"/>
      <c r="AC1095" s="1227"/>
      <c r="AD1095" s="1227"/>
      <c r="AE1095" s="1227"/>
    </row>
    <row r="1096" spans="28:31">
      <c r="AB1096" s="1227"/>
      <c r="AC1096" s="1227"/>
      <c r="AD1096" s="1227"/>
      <c r="AE1096" s="1227"/>
    </row>
    <row r="1097" spans="28:31">
      <c r="AB1097" s="1227"/>
      <c r="AC1097" s="1227"/>
      <c r="AD1097" s="1227"/>
      <c r="AE1097" s="1227"/>
    </row>
    <row r="1098" spans="28:31">
      <c r="AB1098" s="1227"/>
      <c r="AC1098" s="1227"/>
      <c r="AD1098" s="1227"/>
      <c r="AE1098" s="1227"/>
    </row>
    <row r="1099" spans="28:31">
      <c r="AB1099" s="1227"/>
      <c r="AC1099" s="1227"/>
      <c r="AD1099" s="1227"/>
      <c r="AE1099" s="1227"/>
    </row>
    <row r="1100" spans="28:31">
      <c r="AB1100" s="1227"/>
      <c r="AC1100" s="1227"/>
      <c r="AD1100" s="1227"/>
      <c r="AE1100" s="1227"/>
    </row>
    <row r="1101" spans="28:31">
      <c r="AB1101" s="1227"/>
      <c r="AC1101" s="1227"/>
      <c r="AD1101" s="1227"/>
      <c r="AE1101" s="1227"/>
    </row>
    <row r="1102" spans="28:31">
      <c r="AB1102" s="1227"/>
      <c r="AC1102" s="1227"/>
      <c r="AD1102" s="1227"/>
      <c r="AE1102" s="1227"/>
    </row>
    <row r="1103" spans="28:31">
      <c r="AB1103" s="1227"/>
      <c r="AC1103" s="1227"/>
      <c r="AD1103" s="1227"/>
      <c r="AE1103" s="1227"/>
    </row>
    <row r="1104" spans="28:31">
      <c r="AB1104" s="1227"/>
      <c r="AC1104" s="1227"/>
      <c r="AD1104" s="1227"/>
      <c r="AE1104" s="1227"/>
    </row>
    <row r="1105" spans="28:31">
      <c r="AB1105" s="1227"/>
      <c r="AC1105" s="1227"/>
      <c r="AD1105" s="1227"/>
      <c r="AE1105" s="1227"/>
    </row>
    <row r="1106" spans="28:31">
      <c r="AB1106" s="1227"/>
      <c r="AC1106" s="1227"/>
      <c r="AD1106" s="1227"/>
      <c r="AE1106" s="1227"/>
    </row>
    <row r="1107" spans="28:31">
      <c r="AB1107" s="1227"/>
      <c r="AC1107" s="1227"/>
      <c r="AD1107" s="1227"/>
      <c r="AE1107" s="1227"/>
    </row>
    <row r="1108" spans="28:31">
      <c r="AB1108" s="1227"/>
      <c r="AC1108" s="1227"/>
      <c r="AD1108" s="1227"/>
      <c r="AE1108" s="1227"/>
    </row>
    <row r="1109" spans="28:31">
      <c r="AB1109" s="1227"/>
      <c r="AC1109" s="1227"/>
      <c r="AD1109" s="1227"/>
      <c r="AE1109" s="1227"/>
    </row>
    <row r="1110" spans="28:31">
      <c r="AB1110" s="1227"/>
      <c r="AC1110" s="1227"/>
      <c r="AD1110" s="1227"/>
      <c r="AE1110" s="1227"/>
    </row>
    <row r="1111" spans="28:31">
      <c r="AB1111" s="1227"/>
      <c r="AC1111" s="1227"/>
      <c r="AD1111" s="1227"/>
      <c r="AE1111" s="1227"/>
    </row>
    <row r="1112" spans="28:31">
      <c r="AB1112" s="1227"/>
      <c r="AC1112" s="1227"/>
      <c r="AD1112" s="1227"/>
      <c r="AE1112" s="1227"/>
    </row>
    <row r="1113" spans="28:31">
      <c r="AB1113" s="1227"/>
      <c r="AC1113" s="1227"/>
      <c r="AD1113" s="1227"/>
      <c r="AE1113" s="1227"/>
    </row>
    <row r="1114" spans="28:31">
      <c r="AB1114" s="1227"/>
      <c r="AC1114" s="1227"/>
      <c r="AD1114" s="1227"/>
      <c r="AE1114" s="1227"/>
    </row>
    <row r="1115" spans="28:31">
      <c r="AB1115" s="1227"/>
      <c r="AC1115" s="1227"/>
      <c r="AD1115" s="1227"/>
      <c r="AE1115" s="1227"/>
    </row>
    <row r="1116" spans="28:31">
      <c r="AB1116" s="1227"/>
      <c r="AC1116" s="1227"/>
      <c r="AD1116" s="1227"/>
      <c r="AE1116" s="1227"/>
    </row>
    <row r="1117" spans="28:31">
      <c r="AB1117" s="1227"/>
      <c r="AC1117" s="1227"/>
      <c r="AD1117" s="1227"/>
      <c r="AE1117" s="1227"/>
    </row>
    <row r="1118" spans="28:31">
      <c r="AB1118" s="1227"/>
      <c r="AC1118" s="1227"/>
      <c r="AD1118" s="1227"/>
      <c r="AE1118" s="1227"/>
    </row>
    <row r="1119" spans="28:31">
      <c r="AB1119" s="1227"/>
      <c r="AC1119" s="1227"/>
      <c r="AD1119" s="1227"/>
      <c r="AE1119" s="1227"/>
    </row>
    <row r="1120" spans="28:31">
      <c r="AB1120" s="1227"/>
      <c r="AC1120" s="1227"/>
      <c r="AD1120" s="1227"/>
      <c r="AE1120" s="1227"/>
    </row>
    <row r="1121" spans="28:31">
      <c r="AB1121" s="1227"/>
      <c r="AC1121" s="1227"/>
      <c r="AD1121" s="1227"/>
      <c r="AE1121" s="1227"/>
    </row>
    <row r="1122" spans="28:31">
      <c r="AB1122" s="1227"/>
      <c r="AC1122" s="1227"/>
      <c r="AD1122" s="1227"/>
      <c r="AE1122" s="1227"/>
    </row>
    <row r="1123" spans="28:31">
      <c r="AB1123" s="1227"/>
      <c r="AC1123" s="1227"/>
      <c r="AD1123" s="1227"/>
      <c r="AE1123" s="1227"/>
    </row>
    <row r="1124" spans="28:31">
      <c r="AB1124" s="1227"/>
      <c r="AC1124" s="1227"/>
      <c r="AD1124" s="1227"/>
      <c r="AE1124" s="1227"/>
    </row>
    <row r="1125" spans="28:31">
      <c r="AB1125" s="1227"/>
      <c r="AC1125" s="1227"/>
      <c r="AD1125" s="1227"/>
      <c r="AE1125" s="1227"/>
    </row>
    <row r="1126" spans="28:31">
      <c r="AB1126" s="1227"/>
      <c r="AC1126" s="1227"/>
      <c r="AD1126" s="1227"/>
      <c r="AE1126" s="1227"/>
    </row>
    <row r="1127" spans="28:31">
      <c r="AB1127" s="1227"/>
      <c r="AC1127" s="1227"/>
      <c r="AD1127" s="1227"/>
      <c r="AE1127" s="1227"/>
    </row>
    <row r="1128" spans="28:31">
      <c r="AB1128" s="1227"/>
      <c r="AC1128" s="1227"/>
      <c r="AD1128" s="1227"/>
      <c r="AE1128" s="1227"/>
    </row>
    <row r="1129" spans="28:31">
      <c r="AB1129" s="1227"/>
      <c r="AC1129" s="1227"/>
      <c r="AD1129" s="1227"/>
      <c r="AE1129" s="1227"/>
    </row>
    <row r="1130" spans="28:31">
      <c r="AB1130" s="1227"/>
      <c r="AC1130" s="1227"/>
      <c r="AD1130" s="1227"/>
      <c r="AE1130" s="1227"/>
    </row>
    <row r="1131" spans="28:31">
      <c r="AB1131" s="1227"/>
      <c r="AC1131" s="1227"/>
      <c r="AD1131" s="1227"/>
      <c r="AE1131" s="1227"/>
    </row>
    <row r="1132" spans="28:31">
      <c r="AB1132" s="1227"/>
      <c r="AC1132" s="1227"/>
      <c r="AD1132" s="1227"/>
      <c r="AE1132" s="1227"/>
    </row>
    <row r="1133" spans="28:31">
      <c r="AB1133" s="1227"/>
      <c r="AC1133" s="1227"/>
      <c r="AD1133" s="1227"/>
      <c r="AE1133" s="1227"/>
    </row>
    <row r="1134" spans="28:31">
      <c r="AB1134" s="1227"/>
      <c r="AC1134" s="1227"/>
      <c r="AD1134" s="1227"/>
      <c r="AE1134" s="1227"/>
    </row>
    <row r="1135" spans="28:31">
      <c r="AB1135" s="1227"/>
      <c r="AC1135" s="1227"/>
      <c r="AD1135" s="1227"/>
      <c r="AE1135" s="1227"/>
    </row>
    <row r="1136" spans="28:31">
      <c r="AB1136" s="1227"/>
      <c r="AC1136" s="1227"/>
      <c r="AD1136" s="1227"/>
      <c r="AE1136" s="1227"/>
    </row>
    <row r="1137" spans="28:31">
      <c r="AB1137" s="1227"/>
      <c r="AC1137" s="1227"/>
      <c r="AD1137" s="1227"/>
      <c r="AE1137" s="1227"/>
    </row>
    <row r="1138" spans="28:31">
      <c r="AB1138" s="1227"/>
      <c r="AC1138" s="1227"/>
      <c r="AD1138" s="1227"/>
      <c r="AE1138" s="1227"/>
    </row>
    <row r="1139" spans="28:31">
      <c r="AB1139" s="1227"/>
      <c r="AC1139" s="1227"/>
      <c r="AD1139" s="1227"/>
      <c r="AE1139" s="1227"/>
    </row>
    <row r="1140" spans="28:31">
      <c r="AB1140" s="1227"/>
      <c r="AC1140" s="1227"/>
      <c r="AD1140" s="1227"/>
      <c r="AE1140" s="1227"/>
    </row>
    <row r="1141" spans="28:31">
      <c r="AB1141" s="1227"/>
      <c r="AC1141" s="1227"/>
      <c r="AD1141" s="1227"/>
      <c r="AE1141" s="1227"/>
    </row>
    <row r="1142" spans="28:31">
      <c r="AB1142" s="1227"/>
      <c r="AC1142" s="1227"/>
      <c r="AD1142" s="1227"/>
      <c r="AE1142" s="1227"/>
    </row>
    <row r="1143" spans="28:31">
      <c r="AB1143" s="1227"/>
      <c r="AC1143" s="1227"/>
      <c r="AD1143" s="1227"/>
      <c r="AE1143" s="1227"/>
    </row>
    <row r="1144" spans="28:31">
      <c r="AB1144" s="1227"/>
      <c r="AC1144" s="1227"/>
      <c r="AD1144" s="1227"/>
      <c r="AE1144" s="1227"/>
    </row>
    <row r="1145" spans="28:31">
      <c r="AB1145" s="1227"/>
      <c r="AC1145" s="1227"/>
      <c r="AD1145" s="1227"/>
      <c r="AE1145" s="1227"/>
    </row>
    <row r="1146" spans="28:31">
      <c r="AB1146" s="1227"/>
      <c r="AC1146" s="1227"/>
      <c r="AD1146" s="1227"/>
      <c r="AE1146" s="1227"/>
    </row>
    <row r="1147" spans="28:31">
      <c r="AB1147" s="1227"/>
      <c r="AC1147" s="1227"/>
      <c r="AD1147" s="1227"/>
      <c r="AE1147" s="1227"/>
    </row>
    <row r="1148" spans="28:31">
      <c r="AB1148" s="1227"/>
      <c r="AC1148" s="1227"/>
      <c r="AD1148" s="1227"/>
      <c r="AE1148" s="1227"/>
    </row>
    <row r="1149" spans="28:31">
      <c r="AB1149" s="1227"/>
      <c r="AC1149" s="1227"/>
      <c r="AD1149" s="1227"/>
      <c r="AE1149" s="1227"/>
    </row>
    <row r="1150" spans="28:31">
      <c r="AB1150" s="1227"/>
      <c r="AC1150" s="1227"/>
      <c r="AD1150" s="1227"/>
      <c r="AE1150" s="1227"/>
    </row>
    <row r="1151" spans="28:31">
      <c r="AB1151" s="1227"/>
      <c r="AC1151" s="1227"/>
      <c r="AD1151" s="1227"/>
      <c r="AE1151" s="1227"/>
    </row>
    <row r="1152" spans="28:31">
      <c r="AB1152" s="1227"/>
      <c r="AC1152" s="1227"/>
      <c r="AD1152" s="1227"/>
      <c r="AE1152" s="1227"/>
    </row>
    <row r="1153" spans="28:31">
      <c r="AB1153" s="1227"/>
      <c r="AC1153" s="1227"/>
      <c r="AD1153" s="1227"/>
      <c r="AE1153" s="1227"/>
    </row>
    <row r="1154" spans="28:31">
      <c r="AB1154" s="1227"/>
      <c r="AC1154" s="1227"/>
      <c r="AD1154" s="1227"/>
      <c r="AE1154" s="1227"/>
    </row>
    <row r="1155" spans="28:31">
      <c r="AB1155" s="1227"/>
      <c r="AC1155" s="1227"/>
      <c r="AD1155" s="1227"/>
      <c r="AE1155" s="1227"/>
    </row>
    <row r="1156" spans="28:31">
      <c r="AB1156" s="1227"/>
      <c r="AC1156" s="1227"/>
      <c r="AD1156" s="1227"/>
      <c r="AE1156" s="1227"/>
    </row>
    <row r="1157" spans="28:31">
      <c r="AB1157" s="1227"/>
      <c r="AC1157" s="1227"/>
      <c r="AD1157" s="1227"/>
      <c r="AE1157" s="1227"/>
    </row>
    <row r="1158" spans="28:31">
      <c r="AB1158" s="1227"/>
      <c r="AC1158" s="1227"/>
      <c r="AD1158" s="1227"/>
      <c r="AE1158" s="1227"/>
    </row>
    <row r="1159" spans="28:31">
      <c r="AB1159" s="1227"/>
      <c r="AC1159" s="1227"/>
      <c r="AD1159" s="1227"/>
      <c r="AE1159" s="1227"/>
    </row>
    <row r="1160" spans="28:31">
      <c r="AB1160" s="1227"/>
      <c r="AC1160" s="1227"/>
      <c r="AD1160" s="1227"/>
      <c r="AE1160" s="1227"/>
    </row>
    <row r="1161" spans="28:31">
      <c r="AB1161" s="1227"/>
      <c r="AC1161" s="1227"/>
      <c r="AD1161" s="1227"/>
      <c r="AE1161" s="1227"/>
    </row>
    <row r="1162" spans="28:31">
      <c r="AB1162" s="1227"/>
      <c r="AC1162" s="1227"/>
      <c r="AD1162" s="1227"/>
      <c r="AE1162" s="1227"/>
    </row>
    <row r="1163" spans="28:31">
      <c r="AB1163" s="1227"/>
      <c r="AC1163" s="1227"/>
      <c r="AD1163" s="1227"/>
      <c r="AE1163" s="1227"/>
    </row>
    <row r="1164" spans="28:31">
      <c r="AB1164" s="1227"/>
      <c r="AC1164" s="1227"/>
      <c r="AD1164" s="1227"/>
      <c r="AE1164" s="1227"/>
    </row>
    <row r="1165" spans="28:31">
      <c r="AB1165" s="1227"/>
      <c r="AC1165" s="1227"/>
      <c r="AD1165" s="1227"/>
      <c r="AE1165" s="1227"/>
    </row>
    <row r="1166" spans="28:31">
      <c r="AB1166" s="1227"/>
      <c r="AC1166" s="1227"/>
      <c r="AD1166" s="1227"/>
      <c r="AE1166" s="1227"/>
    </row>
    <row r="1167" spans="28:31">
      <c r="AB1167" s="1227"/>
      <c r="AC1167" s="1227"/>
      <c r="AD1167" s="1227"/>
      <c r="AE1167" s="1227"/>
    </row>
    <row r="1168" spans="28:31">
      <c r="AB1168" s="1227"/>
      <c r="AC1168" s="1227"/>
      <c r="AD1168" s="1227"/>
      <c r="AE1168" s="1227"/>
    </row>
    <row r="1169" spans="28:31">
      <c r="AB1169" s="1227"/>
      <c r="AC1169" s="1227"/>
      <c r="AD1169" s="1227"/>
      <c r="AE1169" s="1227"/>
    </row>
    <row r="1170" spans="28:31">
      <c r="AB1170" s="1227"/>
      <c r="AC1170" s="1227"/>
      <c r="AD1170" s="1227"/>
      <c r="AE1170" s="1227"/>
    </row>
    <row r="1171" spans="28:31">
      <c r="AB1171" s="1227"/>
      <c r="AC1171" s="1227"/>
      <c r="AD1171" s="1227"/>
      <c r="AE1171" s="1227"/>
    </row>
    <row r="1172" spans="28:31">
      <c r="AB1172" s="1227"/>
      <c r="AC1172" s="1227"/>
      <c r="AD1172" s="1227"/>
      <c r="AE1172" s="1227"/>
    </row>
    <row r="1173" spans="28:31">
      <c r="AB1173" s="1227"/>
      <c r="AC1173" s="1227"/>
      <c r="AD1173" s="1227"/>
      <c r="AE1173" s="1227"/>
    </row>
    <row r="1174" spans="28:31">
      <c r="AB1174" s="1227"/>
      <c r="AC1174" s="1227"/>
      <c r="AD1174" s="1227"/>
      <c r="AE1174" s="1227"/>
    </row>
    <row r="1175" spans="28:31">
      <c r="AB1175" s="1227"/>
      <c r="AC1175" s="1227"/>
      <c r="AD1175" s="1227"/>
      <c r="AE1175" s="1227"/>
    </row>
    <row r="1176" spans="28:31">
      <c r="AB1176" s="1227"/>
      <c r="AC1176" s="1227"/>
      <c r="AD1176" s="1227"/>
      <c r="AE1176" s="1227"/>
    </row>
    <row r="1177" spans="28:31">
      <c r="AB1177" s="1227"/>
      <c r="AC1177" s="1227"/>
      <c r="AD1177" s="1227"/>
      <c r="AE1177" s="1227"/>
    </row>
    <row r="1178" spans="28:31">
      <c r="AB1178" s="1227"/>
      <c r="AC1178" s="1227"/>
      <c r="AD1178" s="1227"/>
      <c r="AE1178" s="1227"/>
    </row>
    <row r="1179" spans="28:31">
      <c r="AB1179" s="1227"/>
      <c r="AC1179" s="1227"/>
      <c r="AD1179" s="1227"/>
      <c r="AE1179" s="1227"/>
    </row>
    <row r="1180" spans="28:31">
      <c r="AB1180" s="1227"/>
      <c r="AC1180" s="1227"/>
      <c r="AD1180" s="1227"/>
      <c r="AE1180" s="1227"/>
    </row>
    <row r="1181" spans="28:31">
      <c r="AB1181" s="1227"/>
      <c r="AC1181" s="1227"/>
      <c r="AD1181" s="1227"/>
      <c r="AE1181" s="1227"/>
    </row>
    <row r="1182" spans="28:31">
      <c r="AB1182" s="1227"/>
      <c r="AC1182" s="1227"/>
      <c r="AD1182" s="1227"/>
      <c r="AE1182" s="1227"/>
    </row>
    <row r="1183" spans="28:31">
      <c r="AB1183" s="1227"/>
      <c r="AC1183" s="1227"/>
      <c r="AD1183" s="1227"/>
      <c r="AE1183" s="1227"/>
    </row>
    <row r="1184" spans="28:31">
      <c r="AB1184" s="1227"/>
      <c r="AC1184" s="1227"/>
      <c r="AD1184" s="1227"/>
      <c r="AE1184" s="1227"/>
    </row>
    <row r="1185" spans="28:31">
      <c r="AB1185" s="1227"/>
      <c r="AC1185" s="1227"/>
      <c r="AD1185" s="1227"/>
      <c r="AE1185" s="1227"/>
    </row>
    <row r="1186" spans="28:31">
      <c r="AB1186" s="1227"/>
      <c r="AC1186" s="1227"/>
      <c r="AD1186" s="1227"/>
      <c r="AE1186" s="1227"/>
    </row>
    <row r="1187" spans="28:31">
      <c r="AB1187" s="1227"/>
      <c r="AC1187" s="1227"/>
      <c r="AD1187" s="1227"/>
      <c r="AE1187" s="1227"/>
    </row>
    <row r="1188" spans="28:31">
      <c r="AB1188" s="1227"/>
      <c r="AC1188" s="1227"/>
      <c r="AD1188" s="1227"/>
      <c r="AE1188" s="1227"/>
    </row>
    <row r="1189" spans="28:31">
      <c r="AB1189" s="1227"/>
      <c r="AC1189" s="1227"/>
      <c r="AD1189" s="1227"/>
      <c r="AE1189" s="1227"/>
    </row>
    <row r="1190" spans="28:31">
      <c r="AB1190" s="1227"/>
      <c r="AC1190" s="1227"/>
      <c r="AD1190" s="1227"/>
      <c r="AE1190" s="1227"/>
    </row>
    <row r="1191" spans="28:31">
      <c r="AB1191" s="1227"/>
      <c r="AC1191" s="1227"/>
      <c r="AD1191" s="1227"/>
      <c r="AE1191" s="1227"/>
    </row>
    <row r="1192" spans="28:31">
      <c r="AB1192" s="1227"/>
      <c r="AC1192" s="1227"/>
      <c r="AD1192" s="1227"/>
      <c r="AE1192" s="1227"/>
    </row>
    <row r="1193" spans="28:31">
      <c r="AB1193" s="1227"/>
      <c r="AC1193" s="1227"/>
      <c r="AD1193" s="1227"/>
      <c r="AE1193" s="1227"/>
    </row>
    <row r="1194" spans="28:31">
      <c r="AB1194" s="1227"/>
      <c r="AC1194" s="1227"/>
      <c r="AD1194" s="1227"/>
      <c r="AE1194" s="1227"/>
    </row>
    <row r="1195" spans="28:31">
      <c r="AB1195" s="1227"/>
      <c r="AC1195" s="1227"/>
      <c r="AD1195" s="1227"/>
      <c r="AE1195" s="1227"/>
    </row>
    <row r="1196" spans="28:31">
      <c r="AB1196" s="1227"/>
      <c r="AC1196" s="1227"/>
      <c r="AD1196" s="1227"/>
      <c r="AE1196" s="1227"/>
    </row>
    <row r="1197" spans="28:31">
      <c r="AB1197" s="1227"/>
      <c r="AC1197" s="1227"/>
      <c r="AD1197" s="1227"/>
      <c r="AE1197" s="1227"/>
    </row>
    <row r="1198" spans="28:31">
      <c r="AB1198" s="1227"/>
      <c r="AC1198" s="1227"/>
      <c r="AD1198" s="1227"/>
      <c r="AE1198" s="1227"/>
    </row>
    <row r="1199" spans="28:31">
      <c r="AB1199" s="1227"/>
      <c r="AC1199" s="1227"/>
      <c r="AD1199" s="1227"/>
      <c r="AE1199" s="1227"/>
    </row>
    <row r="1200" spans="28:31">
      <c r="AB1200" s="1227"/>
      <c r="AC1200" s="1227"/>
      <c r="AD1200" s="1227"/>
      <c r="AE1200" s="1227"/>
    </row>
    <row r="1201" spans="28:31">
      <c r="AB1201" s="1227"/>
      <c r="AC1201" s="1227"/>
      <c r="AD1201" s="1227"/>
      <c r="AE1201" s="1227"/>
    </row>
    <row r="1202" spans="28:31">
      <c r="AB1202" s="1227"/>
      <c r="AC1202" s="1227"/>
      <c r="AD1202" s="1227"/>
      <c r="AE1202" s="1227"/>
    </row>
    <row r="1203" spans="28:31">
      <c r="AB1203" s="1227"/>
      <c r="AC1203" s="1227"/>
      <c r="AD1203" s="1227"/>
      <c r="AE1203" s="1227"/>
    </row>
    <row r="1204" spans="28:31">
      <c r="AB1204" s="1227"/>
      <c r="AC1204" s="1227"/>
      <c r="AD1204" s="1227"/>
      <c r="AE1204" s="1227"/>
    </row>
    <row r="1205" spans="28:31">
      <c r="AB1205" s="1227"/>
      <c r="AC1205" s="1227"/>
      <c r="AD1205" s="1227"/>
      <c r="AE1205" s="1227"/>
    </row>
    <row r="1206" spans="28:31">
      <c r="AB1206" s="1227"/>
      <c r="AC1206" s="1227"/>
      <c r="AD1206" s="1227"/>
      <c r="AE1206" s="1227"/>
    </row>
    <row r="1207" spans="28:31">
      <c r="AB1207" s="1227"/>
      <c r="AC1207" s="1227"/>
      <c r="AD1207" s="1227"/>
      <c r="AE1207" s="1227"/>
    </row>
    <row r="1208" spans="28:31">
      <c r="AB1208" s="1227"/>
      <c r="AC1208" s="1227"/>
      <c r="AD1208" s="1227"/>
      <c r="AE1208" s="1227"/>
    </row>
    <row r="1209" spans="28:31">
      <c r="AB1209" s="1227"/>
      <c r="AC1209" s="1227"/>
      <c r="AD1209" s="1227"/>
      <c r="AE1209" s="1227"/>
    </row>
    <row r="1210" spans="28:31">
      <c r="AB1210" s="1227"/>
      <c r="AC1210" s="1227"/>
      <c r="AD1210" s="1227"/>
      <c r="AE1210" s="1227"/>
    </row>
    <row r="1211" spans="28:31">
      <c r="AB1211" s="1227"/>
      <c r="AC1211" s="1227"/>
      <c r="AD1211" s="1227"/>
      <c r="AE1211" s="1227"/>
    </row>
    <row r="1212" spans="28:31">
      <c r="AB1212" s="1227"/>
      <c r="AC1212" s="1227"/>
      <c r="AD1212" s="1227"/>
      <c r="AE1212" s="1227"/>
    </row>
    <row r="1213" spans="28:31">
      <c r="AB1213" s="1227"/>
      <c r="AC1213" s="1227"/>
      <c r="AD1213" s="1227"/>
      <c r="AE1213" s="1227"/>
    </row>
    <row r="1214" spans="28:31">
      <c r="AB1214" s="1227"/>
      <c r="AC1214" s="1227"/>
      <c r="AD1214" s="1227"/>
      <c r="AE1214" s="1227"/>
    </row>
    <row r="1215" spans="28:31">
      <c r="AB1215" s="1227"/>
      <c r="AC1215" s="1227"/>
      <c r="AD1215" s="1227"/>
      <c r="AE1215" s="1227"/>
    </row>
    <row r="1216" spans="28:31">
      <c r="AB1216" s="1227"/>
      <c r="AC1216" s="1227"/>
      <c r="AD1216" s="1227"/>
      <c r="AE1216" s="1227"/>
    </row>
    <row r="1217" spans="28:31">
      <c r="AB1217" s="1227"/>
      <c r="AC1217" s="1227"/>
      <c r="AD1217" s="1227"/>
      <c r="AE1217" s="1227"/>
    </row>
    <row r="1218" spans="28:31">
      <c r="AB1218" s="1227"/>
      <c r="AC1218" s="1227"/>
      <c r="AD1218" s="1227"/>
      <c r="AE1218" s="1227"/>
    </row>
    <row r="1219" spans="28:31">
      <c r="AB1219" s="1227"/>
      <c r="AC1219" s="1227"/>
      <c r="AD1219" s="1227"/>
      <c r="AE1219" s="1227"/>
    </row>
    <row r="1220" spans="28:31">
      <c r="AB1220" s="1227"/>
      <c r="AC1220" s="1227"/>
      <c r="AD1220" s="1227"/>
      <c r="AE1220" s="1227"/>
    </row>
    <row r="1221" spans="28:31">
      <c r="AB1221" s="1227"/>
      <c r="AC1221" s="1227"/>
      <c r="AD1221" s="1227"/>
      <c r="AE1221" s="1227"/>
    </row>
    <row r="1222" spans="28:31">
      <c r="AB1222" s="1227"/>
      <c r="AC1222" s="1227"/>
      <c r="AD1222" s="1227"/>
      <c r="AE1222" s="1227"/>
    </row>
    <row r="1223" spans="28:31">
      <c r="AB1223" s="1227"/>
      <c r="AC1223" s="1227"/>
      <c r="AD1223" s="1227"/>
      <c r="AE1223" s="1227"/>
    </row>
    <row r="1224" spans="28:31">
      <c r="AB1224" s="1227"/>
      <c r="AC1224" s="1227"/>
      <c r="AD1224" s="1227"/>
      <c r="AE1224" s="1227"/>
    </row>
    <row r="1225" spans="28:31">
      <c r="AB1225" s="1227"/>
      <c r="AC1225" s="1227"/>
      <c r="AD1225" s="1227"/>
      <c r="AE1225" s="1227"/>
    </row>
    <row r="1226" spans="28:31">
      <c r="AB1226" s="1227"/>
      <c r="AC1226" s="1227"/>
      <c r="AD1226" s="1227"/>
      <c r="AE1226" s="1227"/>
    </row>
    <row r="1227" spans="28:31">
      <c r="AB1227" s="1227"/>
      <c r="AC1227" s="1227"/>
      <c r="AD1227" s="1227"/>
      <c r="AE1227" s="1227"/>
    </row>
    <row r="1228" spans="28:31">
      <c r="AB1228" s="1227"/>
      <c r="AC1228" s="1227"/>
      <c r="AD1228" s="1227"/>
      <c r="AE1228" s="1227"/>
    </row>
    <row r="1229" spans="28:31">
      <c r="AB1229" s="1227"/>
      <c r="AC1229" s="1227"/>
      <c r="AD1229" s="1227"/>
      <c r="AE1229" s="1227"/>
    </row>
    <row r="1230" spans="28:31">
      <c r="AB1230" s="1227"/>
      <c r="AC1230" s="1227"/>
      <c r="AD1230" s="1227"/>
      <c r="AE1230" s="1227"/>
    </row>
    <row r="1231" spans="28:31">
      <c r="AB1231" s="1227"/>
      <c r="AC1231" s="1227"/>
      <c r="AD1231" s="1227"/>
      <c r="AE1231" s="1227"/>
    </row>
    <row r="1232" spans="28:31">
      <c r="AB1232" s="1227"/>
      <c r="AC1232" s="1227"/>
      <c r="AD1232" s="1227"/>
      <c r="AE1232" s="1227"/>
    </row>
    <row r="1233" spans="28:31">
      <c r="AB1233" s="1227"/>
      <c r="AC1233" s="1227"/>
      <c r="AD1233" s="1227"/>
      <c r="AE1233" s="1227"/>
    </row>
    <row r="1234" spans="28:31">
      <c r="AB1234" s="1227"/>
      <c r="AC1234" s="1227"/>
      <c r="AD1234" s="1227"/>
      <c r="AE1234" s="1227"/>
    </row>
    <row r="1235" spans="28:31">
      <c r="AB1235" s="1227"/>
      <c r="AC1235" s="1227"/>
      <c r="AD1235" s="1227"/>
      <c r="AE1235" s="1227"/>
    </row>
    <row r="1236" spans="28:31">
      <c r="AB1236" s="1227"/>
      <c r="AC1236" s="1227"/>
      <c r="AD1236" s="1227"/>
      <c r="AE1236" s="1227"/>
    </row>
    <row r="1237" spans="28:31">
      <c r="AB1237" s="1227"/>
      <c r="AC1237" s="1227"/>
      <c r="AD1237" s="1227"/>
      <c r="AE1237" s="1227"/>
    </row>
    <row r="1238" spans="28:31">
      <c r="AB1238" s="1227"/>
      <c r="AC1238" s="1227"/>
      <c r="AD1238" s="1227"/>
      <c r="AE1238" s="1227"/>
    </row>
    <row r="1239" spans="28:31">
      <c r="AB1239" s="1227"/>
      <c r="AC1239" s="1227"/>
      <c r="AD1239" s="1227"/>
      <c r="AE1239" s="1227"/>
    </row>
    <row r="1240" spans="28:31">
      <c r="AB1240" s="1227"/>
      <c r="AC1240" s="1227"/>
      <c r="AD1240" s="1227"/>
      <c r="AE1240" s="1227"/>
    </row>
    <row r="1241" spans="28:31">
      <c r="AB1241" s="1227"/>
      <c r="AC1241" s="1227"/>
      <c r="AD1241" s="1227"/>
      <c r="AE1241" s="1227"/>
    </row>
    <row r="1242" spans="28:31">
      <c r="AB1242" s="1227"/>
      <c r="AC1242" s="1227"/>
      <c r="AD1242" s="1227"/>
      <c r="AE1242" s="1227"/>
    </row>
    <row r="1243" spans="28:31">
      <c r="AB1243" s="1227"/>
      <c r="AC1243" s="1227"/>
      <c r="AD1243" s="1227"/>
      <c r="AE1243" s="1227"/>
    </row>
    <row r="1244" spans="28:31">
      <c r="AB1244" s="1227"/>
      <c r="AC1244" s="1227"/>
      <c r="AD1244" s="1227"/>
      <c r="AE1244" s="1227"/>
    </row>
    <row r="1245" spans="28:31">
      <c r="AB1245" s="1227"/>
      <c r="AC1245" s="1227"/>
      <c r="AD1245" s="1227"/>
      <c r="AE1245" s="1227"/>
    </row>
    <row r="1246" spans="28:31">
      <c r="AB1246" s="1227"/>
      <c r="AC1246" s="1227"/>
      <c r="AD1246" s="1227"/>
      <c r="AE1246" s="1227"/>
    </row>
    <row r="1247" spans="28:31">
      <c r="AB1247" s="1227"/>
      <c r="AC1247" s="1227"/>
      <c r="AD1247" s="1227"/>
      <c r="AE1247" s="1227"/>
    </row>
    <row r="1248" spans="28:31">
      <c r="AB1248" s="1227"/>
      <c r="AC1248" s="1227"/>
      <c r="AD1248" s="1227"/>
      <c r="AE1248" s="1227"/>
    </row>
    <row r="1249" spans="28:31">
      <c r="AB1249" s="1227"/>
      <c r="AC1249" s="1227"/>
      <c r="AD1249" s="1227"/>
      <c r="AE1249" s="1227"/>
    </row>
    <row r="1250" spans="28:31">
      <c r="AB1250" s="1227"/>
      <c r="AC1250" s="1227"/>
      <c r="AD1250" s="1227"/>
      <c r="AE1250" s="1227"/>
    </row>
    <row r="1251" spans="28:31">
      <c r="AB1251" s="1227"/>
      <c r="AC1251" s="1227"/>
      <c r="AD1251" s="1227"/>
      <c r="AE1251" s="1227"/>
    </row>
    <row r="1252" spans="28:31">
      <c r="AB1252" s="1227"/>
      <c r="AC1252" s="1227"/>
      <c r="AD1252" s="1227"/>
      <c r="AE1252" s="1227"/>
    </row>
    <row r="1253" spans="28:31">
      <c r="AB1253" s="1227"/>
      <c r="AC1253" s="1227"/>
      <c r="AD1253" s="1227"/>
      <c r="AE1253" s="1227"/>
    </row>
    <row r="1254" spans="28:31">
      <c r="AB1254" s="1227"/>
      <c r="AC1254" s="1227"/>
      <c r="AD1254" s="1227"/>
      <c r="AE1254" s="1227"/>
    </row>
    <row r="1255" spans="28:31">
      <c r="AB1255" s="1227"/>
      <c r="AC1255" s="1227"/>
      <c r="AD1255" s="1227"/>
      <c r="AE1255" s="1227"/>
    </row>
    <row r="1256" spans="28:31">
      <c r="AB1256" s="1227"/>
      <c r="AC1256" s="1227"/>
      <c r="AD1256" s="1227"/>
      <c r="AE1256" s="1227"/>
    </row>
    <row r="1257" spans="28:31">
      <c r="AB1257" s="1227"/>
      <c r="AC1257" s="1227"/>
      <c r="AD1257" s="1227"/>
      <c r="AE1257" s="1227"/>
    </row>
    <row r="1258" spans="28:31">
      <c r="AB1258" s="1227"/>
      <c r="AC1258" s="1227"/>
      <c r="AD1258" s="1227"/>
      <c r="AE1258" s="1227"/>
    </row>
    <row r="1259" spans="28:31">
      <c r="AB1259" s="1227"/>
      <c r="AC1259" s="1227"/>
      <c r="AD1259" s="1227"/>
      <c r="AE1259" s="1227"/>
    </row>
    <row r="1260" spans="28:31">
      <c r="AB1260" s="1227"/>
      <c r="AC1260" s="1227"/>
      <c r="AD1260" s="1227"/>
      <c r="AE1260" s="1227"/>
    </row>
    <row r="1261" spans="28:31">
      <c r="AB1261" s="1227"/>
      <c r="AC1261" s="1227"/>
      <c r="AD1261" s="1227"/>
      <c r="AE1261" s="1227"/>
    </row>
    <row r="1262" spans="28:31">
      <c r="AB1262" s="1227"/>
      <c r="AC1262" s="1227"/>
      <c r="AD1262" s="1227"/>
      <c r="AE1262" s="1227"/>
    </row>
    <row r="1263" spans="28:31">
      <c r="AB1263" s="1227"/>
      <c r="AC1263" s="1227"/>
      <c r="AD1263" s="1227"/>
      <c r="AE1263" s="1227"/>
    </row>
    <row r="1264" spans="28:31">
      <c r="AB1264" s="1227"/>
      <c r="AC1264" s="1227"/>
      <c r="AD1264" s="1227"/>
      <c r="AE1264" s="1227"/>
    </row>
    <row r="1265" spans="28:31">
      <c r="AB1265" s="1227"/>
      <c r="AC1265" s="1227"/>
      <c r="AD1265" s="1227"/>
      <c r="AE1265" s="1227"/>
    </row>
    <row r="1266" spans="28:31">
      <c r="AB1266" s="1227"/>
      <c r="AC1266" s="1227"/>
      <c r="AD1266" s="1227"/>
      <c r="AE1266" s="1227"/>
    </row>
    <row r="1267" spans="28:31">
      <c r="AB1267" s="1227"/>
      <c r="AC1267" s="1227"/>
      <c r="AD1267" s="1227"/>
      <c r="AE1267" s="1227"/>
    </row>
    <row r="1268" spans="28:31">
      <c r="AB1268" s="1227"/>
      <c r="AC1268" s="1227"/>
      <c r="AD1268" s="1227"/>
      <c r="AE1268" s="1227"/>
    </row>
    <row r="1269" spans="28:31">
      <c r="AB1269" s="1227"/>
      <c r="AC1269" s="1227"/>
      <c r="AD1269" s="1227"/>
      <c r="AE1269" s="1227"/>
    </row>
    <row r="1270" spans="28:31">
      <c r="AB1270" s="1227"/>
      <c r="AC1270" s="1227"/>
      <c r="AD1270" s="1227"/>
      <c r="AE1270" s="1227"/>
    </row>
    <row r="1271" spans="28:31">
      <c r="AB1271" s="1227"/>
      <c r="AC1271" s="1227"/>
      <c r="AD1271" s="1227"/>
      <c r="AE1271" s="1227"/>
    </row>
    <row r="1272" spans="28:31">
      <c r="AB1272" s="1227"/>
      <c r="AC1272" s="1227"/>
      <c r="AD1272" s="1227"/>
      <c r="AE1272" s="1227"/>
    </row>
    <row r="1273" spans="28:31">
      <c r="AB1273" s="1227"/>
      <c r="AC1273" s="1227"/>
      <c r="AD1273" s="1227"/>
      <c r="AE1273" s="1227"/>
    </row>
    <row r="1274" spans="28:31">
      <c r="AB1274" s="1227"/>
      <c r="AC1274" s="1227"/>
      <c r="AD1274" s="1227"/>
      <c r="AE1274" s="1227"/>
    </row>
    <row r="1275" spans="28:31">
      <c r="AB1275" s="1227"/>
      <c r="AC1275" s="1227"/>
      <c r="AD1275" s="1227"/>
      <c r="AE1275" s="1227"/>
    </row>
    <row r="1276" spans="28:31">
      <c r="AB1276" s="1227"/>
      <c r="AC1276" s="1227"/>
      <c r="AD1276" s="1227"/>
      <c r="AE1276" s="1227"/>
    </row>
    <row r="1277" spans="28:31">
      <c r="AB1277" s="1227"/>
      <c r="AC1277" s="1227"/>
      <c r="AD1277" s="1227"/>
      <c r="AE1277" s="1227"/>
    </row>
    <row r="1278" spans="28:31">
      <c r="AB1278" s="1227"/>
      <c r="AC1278" s="1227"/>
      <c r="AD1278" s="1227"/>
      <c r="AE1278" s="1227"/>
    </row>
    <row r="1279" spans="28:31">
      <c r="AB1279" s="1227"/>
      <c r="AC1279" s="1227"/>
      <c r="AD1279" s="1227"/>
      <c r="AE1279" s="1227"/>
    </row>
    <row r="1280" spans="28:31">
      <c r="AB1280" s="1227"/>
      <c r="AC1280" s="1227"/>
      <c r="AD1280" s="1227"/>
      <c r="AE1280" s="1227"/>
    </row>
    <row r="1281" spans="28:31">
      <c r="AB1281" s="1227"/>
      <c r="AC1281" s="1227"/>
      <c r="AD1281" s="1227"/>
      <c r="AE1281" s="1227"/>
    </row>
    <row r="1282" spans="28:31">
      <c r="AB1282" s="1227"/>
      <c r="AC1282" s="1227"/>
      <c r="AD1282" s="1227"/>
      <c r="AE1282" s="1227"/>
    </row>
    <row r="1283" spans="28:31">
      <c r="AB1283" s="1227"/>
      <c r="AC1283" s="1227"/>
      <c r="AD1283" s="1227"/>
      <c r="AE1283" s="1227"/>
    </row>
    <row r="1284" spans="28:31">
      <c r="AB1284" s="1227"/>
      <c r="AC1284" s="1227"/>
      <c r="AD1284" s="1227"/>
      <c r="AE1284" s="1227"/>
    </row>
    <row r="1285" spans="28:31">
      <c r="AB1285" s="1227"/>
      <c r="AC1285" s="1227"/>
      <c r="AD1285" s="1227"/>
      <c r="AE1285" s="1227"/>
    </row>
    <row r="1286" spans="28:31">
      <c r="AB1286" s="1227"/>
      <c r="AC1286" s="1227"/>
      <c r="AD1286" s="1227"/>
      <c r="AE1286" s="1227"/>
    </row>
    <row r="1287" spans="28:31">
      <c r="AB1287" s="1227"/>
      <c r="AC1287" s="1227"/>
      <c r="AD1287" s="1227"/>
      <c r="AE1287" s="1227"/>
    </row>
    <row r="1288" spans="28:31">
      <c r="AB1288" s="1227"/>
      <c r="AC1288" s="1227"/>
      <c r="AD1288" s="1227"/>
      <c r="AE1288" s="1227"/>
    </row>
    <row r="1289" spans="28:31">
      <c r="AB1289" s="1227"/>
      <c r="AC1289" s="1227"/>
      <c r="AD1289" s="1227"/>
      <c r="AE1289" s="1227"/>
    </row>
    <row r="1290" spans="28:31">
      <c r="AB1290" s="1227"/>
      <c r="AC1290" s="1227"/>
      <c r="AD1290" s="1227"/>
      <c r="AE1290" s="1227"/>
    </row>
    <row r="1291" spans="28:31">
      <c r="AB1291" s="1227"/>
      <c r="AC1291" s="1227"/>
      <c r="AD1291" s="1227"/>
      <c r="AE1291" s="1227"/>
    </row>
    <row r="1292" spans="28:31">
      <c r="AB1292" s="1227"/>
      <c r="AC1292" s="1227"/>
      <c r="AD1292" s="1227"/>
      <c r="AE1292" s="1227"/>
    </row>
    <row r="1293" spans="28:31">
      <c r="AB1293" s="1227"/>
      <c r="AC1293" s="1227"/>
      <c r="AD1293" s="1227"/>
      <c r="AE1293" s="1227"/>
    </row>
    <row r="1294" spans="28:31">
      <c r="AB1294" s="1227"/>
      <c r="AC1294" s="1227"/>
      <c r="AD1294" s="1227"/>
      <c r="AE1294" s="1227"/>
    </row>
    <row r="1295" spans="28:31">
      <c r="AB1295" s="1227"/>
      <c r="AC1295" s="1227"/>
      <c r="AD1295" s="1227"/>
      <c r="AE1295" s="1227"/>
    </row>
    <row r="1296" spans="28:31">
      <c r="AB1296" s="1227"/>
      <c r="AC1296" s="1227"/>
      <c r="AD1296" s="1227"/>
      <c r="AE1296" s="1227"/>
    </row>
    <row r="1297" spans="28:31">
      <c r="AB1297" s="1227"/>
      <c r="AC1297" s="1227"/>
      <c r="AD1297" s="1227"/>
      <c r="AE1297" s="1227"/>
    </row>
    <row r="1298" spans="28:31">
      <c r="AB1298" s="1227"/>
      <c r="AC1298" s="1227"/>
      <c r="AD1298" s="1227"/>
      <c r="AE1298" s="1227"/>
    </row>
    <row r="1299" spans="28:31">
      <c r="AB1299" s="1227"/>
      <c r="AC1299" s="1227"/>
      <c r="AD1299" s="1227"/>
      <c r="AE1299" s="1227"/>
    </row>
    <row r="1300" spans="28:31">
      <c r="AB1300" s="1227"/>
      <c r="AC1300" s="1227"/>
      <c r="AD1300" s="1227"/>
      <c r="AE1300" s="1227"/>
    </row>
    <row r="1301" spans="28:31">
      <c r="AB1301" s="1227"/>
      <c r="AC1301" s="1227"/>
      <c r="AD1301" s="1227"/>
      <c r="AE1301" s="1227"/>
    </row>
    <row r="1302" spans="28:31">
      <c r="AB1302" s="1227"/>
      <c r="AC1302" s="1227"/>
      <c r="AD1302" s="1227"/>
      <c r="AE1302" s="1227"/>
    </row>
    <row r="1303" spans="28:31">
      <c r="AB1303" s="1227"/>
      <c r="AC1303" s="1227"/>
      <c r="AD1303" s="1227"/>
      <c r="AE1303" s="1227"/>
    </row>
    <row r="1304" spans="28:31">
      <c r="AB1304" s="1227"/>
      <c r="AC1304" s="1227"/>
      <c r="AD1304" s="1227"/>
      <c r="AE1304" s="1227"/>
    </row>
    <row r="1305" spans="28:31">
      <c r="AB1305" s="1227"/>
      <c r="AC1305" s="1227"/>
      <c r="AD1305" s="1227"/>
      <c r="AE1305" s="1227"/>
    </row>
    <row r="1306" spans="28:31">
      <c r="AB1306" s="1227"/>
      <c r="AC1306" s="1227"/>
      <c r="AD1306" s="1227"/>
      <c r="AE1306" s="1227"/>
    </row>
    <row r="1307" spans="28:31">
      <c r="AB1307" s="1227"/>
      <c r="AC1307" s="1227"/>
      <c r="AD1307" s="1227"/>
      <c r="AE1307" s="1227"/>
    </row>
    <row r="1308" spans="28:31">
      <c r="AB1308" s="1227"/>
      <c r="AC1308" s="1227"/>
      <c r="AD1308" s="1227"/>
      <c r="AE1308" s="1227"/>
    </row>
    <row r="1309" spans="28:31">
      <c r="AB1309" s="1227"/>
      <c r="AC1309" s="1227"/>
      <c r="AD1309" s="1227"/>
      <c r="AE1309" s="1227"/>
    </row>
    <row r="1310" spans="28:31">
      <c r="AB1310" s="1227"/>
      <c r="AC1310" s="1227"/>
      <c r="AD1310" s="1227"/>
      <c r="AE1310" s="1227"/>
    </row>
    <row r="1311" spans="28:31">
      <c r="AB1311" s="1227"/>
      <c r="AC1311" s="1227"/>
      <c r="AD1311" s="1227"/>
      <c r="AE1311" s="1227"/>
    </row>
    <row r="1312" spans="28:31">
      <c r="AB1312" s="1227"/>
      <c r="AC1312" s="1227"/>
      <c r="AD1312" s="1227"/>
      <c r="AE1312" s="1227"/>
    </row>
    <row r="1313" spans="28:31">
      <c r="AB1313" s="1227"/>
      <c r="AC1313" s="1227"/>
      <c r="AD1313" s="1227"/>
      <c r="AE1313" s="1227"/>
    </row>
    <row r="1314" spans="28:31">
      <c r="AB1314" s="1227"/>
      <c r="AC1314" s="1227"/>
      <c r="AD1314" s="1227"/>
      <c r="AE1314" s="1227"/>
    </row>
    <row r="1315" spans="28:31">
      <c r="AB1315" s="1227"/>
      <c r="AC1315" s="1227"/>
      <c r="AD1315" s="1227"/>
      <c r="AE1315" s="1227"/>
    </row>
    <row r="1316" spans="28:31">
      <c r="AB1316" s="1227"/>
      <c r="AC1316" s="1227"/>
      <c r="AD1316" s="1227"/>
      <c r="AE1316" s="1227"/>
    </row>
    <row r="1317" spans="28:31">
      <c r="AB1317" s="1227"/>
      <c r="AC1317" s="1227"/>
      <c r="AD1317" s="1227"/>
      <c r="AE1317" s="1227"/>
    </row>
    <row r="1318" spans="28:31">
      <c r="AB1318" s="1227"/>
      <c r="AC1318" s="1227"/>
      <c r="AD1318" s="1227"/>
      <c r="AE1318" s="1227"/>
    </row>
    <row r="1319" spans="28:31">
      <c r="AB1319" s="1227"/>
      <c r="AC1319" s="1227"/>
      <c r="AD1319" s="1227"/>
      <c r="AE1319" s="1227"/>
    </row>
    <row r="1320" spans="28:31">
      <c r="AB1320" s="1227"/>
      <c r="AC1320" s="1227"/>
      <c r="AD1320" s="1227"/>
      <c r="AE1320" s="1227"/>
    </row>
    <row r="1321" spans="28:31">
      <c r="AB1321" s="1227"/>
      <c r="AC1321" s="1227"/>
      <c r="AD1321" s="1227"/>
      <c r="AE1321" s="1227"/>
    </row>
    <row r="1322" spans="28:31">
      <c r="AB1322" s="1227"/>
      <c r="AC1322" s="1227"/>
      <c r="AD1322" s="1227"/>
      <c r="AE1322" s="1227"/>
    </row>
    <row r="1323" spans="28:31">
      <c r="AB1323" s="1227"/>
      <c r="AC1323" s="1227"/>
      <c r="AD1323" s="1227"/>
      <c r="AE1323" s="1227"/>
    </row>
    <row r="1324" spans="28:31">
      <c r="AB1324" s="1227"/>
      <c r="AC1324" s="1227"/>
      <c r="AD1324" s="1227"/>
      <c r="AE1324" s="1227"/>
    </row>
    <row r="1325" spans="28:31">
      <c r="AB1325" s="1227"/>
      <c r="AC1325" s="1227"/>
      <c r="AD1325" s="1227"/>
      <c r="AE1325" s="1227"/>
    </row>
    <row r="1326" spans="28:31">
      <c r="AB1326" s="1227"/>
      <c r="AC1326" s="1227"/>
      <c r="AD1326" s="1227"/>
      <c r="AE1326" s="1227"/>
    </row>
    <row r="1327" spans="28:31">
      <c r="AB1327" s="1227"/>
      <c r="AC1327" s="1227"/>
      <c r="AD1327" s="1227"/>
      <c r="AE1327" s="1227"/>
    </row>
    <row r="1328" spans="28:31">
      <c r="AB1328" s="1227"/>
      <c r="AC1328" s="1227"/>
      <c r="AD1328" s="1227"/>
      <c r="AE1328" s="1227"/>
    </row>
    <row r="1329" spans="28:31">
      <c r="AB1329" s="1227"/>
      <c r="AC1329" s="1227"/>
      <c r="AD1329" s="1227"/>
      <c r="AE1329" s="1227"/>
    </row>
    <row r="1330" spans="28:31">
      <c r="AB1330" s="1227"/>
      <c r="AC1330" s="1227"/>
      <c r="AD1330" s="1227"/>
      <c r="AE1330" s="1227"/>
    </row>
    <row r="1331" spans="28:31">
      <c r="AB1331" s="1227"/>
      <c r="AC1331" s="1227"/>
      <c r="AD1331" s="1227"/>
      <c r="AE1331" s="1227"/>
    </row>
    <row r="1332" spans="28:31">
      <c r="AB1332" s="1227"/>
      <c r="AC1332" s="1227"/>
      <c r="AD1332" s="1227"/>
      <c r="AE1332" s="1227"/>
    </row>
    <row r="1333" spans="28:31">
      <c r="AB1333" s="1227"/>
      <c r="AC1333" s="1227"/>
      <c r="AD1333" s="1227"/>
      <c r="AE1333" s="1227"/>
    </row>
    <row r="1334" spans="28:31">
      <c r="AB1334" s="1227"/>
      <c r="AC1334" s="1227"/>
      <c r="AD1334" s="1227"/>
      <c r="AE1334" s="1227"/>
    </row>
    <row r="1335" spans="28:31">
      <c r="AB1335" s="1227"/>
      <c r="AC1335" s="1227"/>
      <c r="AD1335" s="1227"/>
      <c r="AE1335" s="1227"/>
    </row>
    <row r="1336" spans="28:31">
      <c r="AB1336" s="1227"/>
      <c r="AC1336" s="1227"/>
      <c r="AD1336" s="1227"/>
      <c r="AE1336" s="1227"/>
    </row>
    <row r="1337" spans="28:31">
      <c r="AB1337" s="1227"/>
      <c r="AC1337" s="1227"/>
      <c r="AD1337" s="1227"/>
      <c r="AE1337" s="1227"/>
    </row>
    <row r="1338" spans="28:31">
      <c r="AB1338" s="1227"/>
      <c r="AC1338" s="1227"/>
      <c r="AD1338" s="1227"/>
      <c r="AE1338" s="1227"/>
    </row>
    <row r="1339" spans="28:31">
      <c r="AB1339" s="1227"/>
      <c r="AC1339" s="1227"/>
      <c r="AD1339" s="1227"/>
      <c r="AE1339" s="1227"/>
    </row>
    <row r="1340" spans="28:31">
      <c r="AB1340" s="1227"/>
      <c r="AC1340" s="1227"/>
      <c r="AD1340" s="1227"/>
      <c r="AE1340" s="1227"/>
    </row>
    <row r="1341" spans="28:31">
      <c r="AB1341" s="1227"/>
      <c r="AC1341" s="1227"/>
      <c r="AD1341" s="1227"/>
      <c r="AE1341" s="1227"/>
    </row>
    <row r="1342" spans="28:31">
      <c r="AB1342" s="1227"/>
      <c r="AC1342" s="1227"/>
      <c r="AD1342" s="1227"/>
      <c r="AE1342" s="1227"/>
    </row>
    <row r="1343" spans="28:31">
      <c r="AB1343" s="1227"/>
      <c r="AC1343" s="1227"/>
      <c r="AD1343" s="1227"/>
      <c r="AE1343" s="1227"/>
    </row>
    <row r="1344" spans="28:31">
      <c r="AB1344" s="1227"/>
      <c r="AC1344" s="1227"/>
      <c r="AD1344" s="1227"/>
      <c r="AE1344" s="1227"/>
    </row>
    <row r="1345" spans="28:31">
      <c r="AB1345" s="1227"/>
      <c r="AC1345" s="1227"/>
      <c r="AD1345" s="1227"/>
      <c r="AE1345" s="1227"/>
    </row>
    <row r="1346" spans="28:31">
      <c r="AB1346" s="1227"/>
      <c r="AC1346" s="1227"/>
      <c r="AD1346" s="1227"/>
      <c r="AE1346" s="1227"/>
    </row>
    <row r="1347" spans="28:31">
      <c r="AB1347" s="1227"/>
      <c r="AC1347" s="1227"/>
      <c r="AD1347" s="1227"/>
      <c r="AE1347" s="1227"/>
    </row>
    <row r="1348" spans="28:31">
      <c r="AB1348" s="1227"/>
      <c r="AC1348" s="1227"/>
      <c r="AD1348" s="1227"/>
      <c r="AE1348" s="1227"/>
    </row>
    <row r="1349" spans="28:31">
      <c r="AB1349" s="1227"/>
      <c r="AC1349" s="1227"/>
      <c r="AD1349" s="1227"/>
      <c r="AE1349" s="1227"/>
    </row>
    <row r="1350" spans="28:31">
      <c r="AB1350" s="1227"/>
      <c r="AC1350" s="1227"/>
      <c r="AD1350" s="1227"/>
      <c r="AE1350" s="1227"/>
    </row>
    <row r="1351" spans="28:31">
      <c r="AB1351" s="1227"/>
      <c r="AC1351" s="1227"/>
      <c r="AD1351" s="1227"/>
      <c r="AE1351" s="1227"/>
    </row>
    <row r="1352" spans="28:31">
      <c r="AB1352" s="1227"/>
      <c r="AC1352" s="1227"/>
      <c r="AD1352" s="1227"/>
      <c r="AE1352" s="1227"/>
    </row>
    <row r="1353" spans="28:31">
      <c r="AB1353" s="1227"/>
      <c r="AC1353" s="1227"/>
      <c r="AD1353" s="1227"/>
      <c r="AE1353" s="1227"/>
    </row>
    <row r="1354" spans="28:31">
      <c r="AB1354" s="1227"/>
      <c r="AC1354" s="1227"/>
      <c r="AD1354" s="1227"/>
      <c r="AE1354" s="1227"/>
    </row>
    <row r="1355" spans="28:31">
      <c r="AB1355" s="1227"/>
      <c r="AC1355" s="1227"/>
      <c r="AD1355" s="1227"/>
      <c r="AE1355" s="1227"/>
    </row>
    <row r="1356" spans="28:31">
      <c r="AB1356" s="1227"/>
      <c r="AC1356" s="1227"/>
      <c r="AD1356" s="1227"/>
      <c r="AE1356" s="1227"/>
    </row>
    <row r="1357" spans="28:31">
      <c r="AB1357" s="1227"/>
      <c r="AC1357" s="1227"/>
      <c r="AD1357" s="1227"/>
      <c r="AE1357" s="1227"/>
    </row>
    <row r="1358" spans="28:31">
      <c r="AB1358" s="1227"/>
      <c r="AC1358" s="1227"/>
      <c r="AD1358" s="1227"/>
      <c r="AE1358" s="1227"/>
    </row>
    <row r="1359" spans="28:31">
      <c r="AB1359" s="1227"/>
      <c r="AC1359" s="1227"/>
      <c r="AD1359" s="1227"/>
      <c r="AE1359" s="1227"/>
    </row>
    <row r="1360" spans="28:31">
      <c r="AB1360" s="1227"/>
      <c r="AC1360" s="1227"/>
      <c r="AD1360" s="1227"/>
      <c r="AE1360" s="1227"/>
    </row>
    <row r="1361" spans="28:31">
      <c r="AB1361" s="1227"/>
      <c r="AC1361" s="1227"/>
      <c r="AD1361" s="1227"/>
      <c r="AE1361" s="1227"/>
    </row>
    <row r="1362" spans="28:31">
      <c r="AB1362" s="1227"/>
      <c r="AC1362" s="1227"/>
      <c r="AD1362" s="1227"/>
      <c r="AE1362" s="1227"/>
    </row>
    <row r="1363" spans="28:31">
      <c r="AB1363" s="1227"/>
      <c r="AC1363" s="1227"/>
      <c r="AD1363" s="1227"/>
      <c r="AE1363" s="1227"/>
    </row>
    <row r="1364" spans="28:31">
      <c r="AB1364" s="1227"/>
      <c r="AC1364" s="1227"/>
      <c r="AD1364" s="1227"/>
      <c r="AE1364" s="1227"/>
    </row>
    <row r="1365" spans="28:31">
      <c r="AB1365" s="1227"/>
      <c r="AC1365" s="1227"/>
      <c r="AD1365" s="1227"/>
      <c r="AE1365" s="1227"/>
    </row>
    <row r="1366" spans="28:31">
      <c r="AB1366" s="1227"/>
      <c r="AC1366" s="1227"/>
      <c r="AD1366" s="1227"/>
      <c r="AE1366" s="1227"/>
    </row>
    <row r="1367" spans="28:31">
      <c r="AB1367" s="1227"/>
      <c r="AC1367" s="1227"/>
      <c r="AD1367" s="1227"/>
      <c r="AE1367" s="1227"/>
    </row>
    <row r="1368" spans="28:31">
      <c r="AB1368" s="1227"/>
      <c r="AC1368" s="1227"/>
      <c r="AD1368" s="1227"/>
      <c r="AE1368" s="1227"/>
    </row>
    <row r="1369" spans="28:31">
      <c r="AB1369" s="1227"/>
      <c r="AC1369" s="1227"/>
      <c r="AD1369" s="1227"/>
      <c r="AE1369" s="1227"/>
    </row>
    <row r="1370" spans="28:31">
      <c r="AB1370" s="1227"/>
      <c r="AC1370" s="1227"/>
      <c r="AD1370" s="1227"/>
      <c r="AE1370" s="1227"/>
    </row>
    <row r="1371" spans="28:31">
      <c r="AB1371" s="1227"/>
      <c r="AC1371" s="1227"/>
      <c r="AD1371" s="1227"/>
      <c r="AE1371" s="1227"/>
    </row>
    <row r="1372" spans="28:31">
      <c r="AB1372" s="1227"/>
      <c r="AC1372" s="1227"/>
      <c r="AD1372" s="1227"/>
      <c r="AE1372" s="1227"/>
    </row>
    <row r="1373" spans="28:31">
      <c r="AB1373" s="1227"/>
      <c r="AC1373" s="1227"/>
      <c r="AD1373" s="1227"/>
      <c r="AE1373" s="1227"/>
    </row>
    <row r="1374" spans="28:31">
      <c r="AB1374" s="1227"/>
      <c r="AC1374" s="1227"/>
      <c r="AD1374" s="1227"/>
      <c r="AE1374" s="1227"/>
    </row>
    <row r="1375" spans="28:31">
      <c r="AB1375" s="1227"/>
      <c r="AC1375" s="1227"/>
      <c r="AD1375" s="1227"/>
      <c r="AE1375" s="1227"/>
    </row>
    <row r="1376" spans="28:31">
      <c r="AB1376" s="1227"/>
      <c r="AC1376" s="1227"/>
      <c r="AD1376" s="1227"/>
      <c r="AE1376" s="1227"/>
    </row>
    <row r="1377" spans="28:31">
      <c r="AB1377" s="1227"/>
      <c r="AC1377" s="1227"/>
      <c r="AD1377" s="1227"/>
      <c r="AE1377" s="1227"/>
    </row>
    <row r="1378" spans="28:31">
      <c r="AB1378" s="1227"/>
      <c r="AC1378" s="1227"/>
      <c r="AD1378" s="1227"/>
      <c r="AE1378" s="1227"/>
    </row>
    <row r="1379" spans="28:31">
      <c r="AB1379" s="1227"/>
      <c r="AC1379" s="1227"/>
      <c r="AD1379" s="1227"/>
      <c r="AE1379" s="1227"/>
    </row>
    <row r="1380" spans="28:31">
      <c r="AB1380" s="1227"/>
      <c r="AC1380" s="1227"/>
      <c r="AD1380" s="1227"/>
      <c r="AE1380" s="1227"/>
    </row>
    <row r="1381" spans="28:31">
      <c r="AB1381" s="1227"/>
      <c r="AC1381" s="1227"/>
      <c r="AD1381" s="1227"/>
      <c r="AE1381" s="1227"/>
    </row>
    <row r="1382" spans="28:31">
      <c r="AB1382" s="1227"/>
      <c r="AC1382" s="1227"/>
      <c r="AD1382" s="1227"/>
      <c r="AE1382" s="1227"/>
    </row>
    <row r="1383" spans="28:31">
      <c r="AB1383" s="1227"/>
      <c r="AC1383" s="1227"/>
      <c r="AD1383" s="1227"/>
      <c r="AE1383" s="1227"/>
    </row>
    <row r="1384" spans="28:31">
      <c r="AB1384" s="1227"/>
      <c r="AC1384" s="1227"/>
      <c r="AD1384" s="1227"/>
      <c r="AE1384" s="1227"/>
    </row>
    <row r="1385" spans="28:31">
      <c r="AB1385" s="1227"/>
      <c r="AC1385" s="1227"/>
      <c r="AD1385" s="1227"/>
      <c r="AE1385" s="1227"/>
    </row>
    <row r="1386" spans="28:31">
      <c r="AB1386" s="1227"/>
      <c r="AC1386" s="1227"/>
      <c r="AD1386" s="1227"/>
      <c r="AE1386" s="1227"/>
    </row>
    <row r="1387" spans="28:31">
      <c r="AB1387" s="1227"/>
      <c r="AC1387" s="1227"/>
      <c r="AD1387" s="1227"/>
      <c r="AE1387" s="1227"/>
    </row>
    <row r="1388" spans="28:31">
      <c r="AB1388" s="1227"/>
      <c r="AC1388" s="1227"/>
      <c r="AD1388" s="1227"/>
      <c r="AE1388" s="1227"/>
    </row>
    <row r="1389" spans="28:31">
      <c r="AB1389" s="1227"/>
      <c r="AC1389" s="1227"/>
      <c r="AD1389" s="1227"/>
      <c r="AE1389" s="1227"/>
    </row>
    <row r="1390" spans="28:31">
      <c r="AB1390" s="1227"/>
      <c r="AC1390" s="1227"/>
      <c r="AD1390" s="1227"/>
      <c r="AE1390" s="1227"/>
    </row>
    <row r="1391" spans="28:31">
      <c r="AB1391" s="1227"/>
      <c r="AC1391" s="1227"/>
      <c r="AD1391" s="1227"/>
      <c r="AE1391" s="1227"/>
    </row>
    <row r="1392" spans="28:31">
      <c r="AB1392" s="1227"/>
      <c r="AC1392" s="1227"/>
      <c r="AD1392" s="1227"/>
      <c r="AE1392" s="1227"/>
    </row>
    <row r="1393" spans="28:31">
      <c r="AB1393" s="1227"/>
      <c r="AC1393" s="1227"/>
      <c r="AD1393" s="1227"/>
      <c r="AE1393" s="1227"/>
    </row>
    <row r="1394" spans="28:31">
      <c r="AB1394" s="1227"/>
      <c r="AC1394" s="1227"/>
      <c r="AD1394" s="1227"/>
      <c r="AE1394" s="1227"/>
    </row>
    <row r="1395" spans="28:31">
      <c r="AB1395" s="1227"/>
      <c r="AC1395" s="1227"/>
      <c r="AD1395" s="1227"/>
      <c r="AE1395" s="1227"/>
    </row>
    <row r="1396" spans="28:31">
      <c r="AB1396" s="1227"/>
      <c r="AC1396" s="1227"/>
      <c r="AD1396" s="1227"/>
      <c r="AE1396" s="1227"/>
    </row>
    <row r="1397" spans="28:31">
      <c r="AB1397" s="1227"/>
      <c r="AC1397" s="1227"/>
      <c r="AD1397" s="1227"/>
      <c r="AE1397" s="1227"/>
    </row>
    <row r="1398" spans="28:31">
      <c r="AB1398" s="1227"/>
      <c r="AC1398" s="1227"/>
      <c r="AD1398" s="1227"/>
      <c r="AE1398" s="1227"/>
    </row>
    <row r="1399" spans="28:31">
      <c r="AB1399" s="1227"/>
      <c r="AC1399" s="1227"/>
      <c r="AD1399" s="1227"/>
      <c r="AE1399" s="1227"/>
    </row>
    <row r="1400" spans="28:31">
      <c r="AB1400" s="1227"/>
      <c r="AC1400" s="1227"/>
      <c r="AD1400" s="1227"/>
      <c r="AE1400" s="1227"/>
    </row>
    <row r="1401" spans="28:31">
      <c r="AB1401" s="1227"/>
      <c r="AC1401" s="1227"/>
      <c r="AD1401" s="1227"/>
      <c r="AE1401" s="1227"/>
    </row>
    <row r="1402" spans="28:31">
      <c r="AB1402" s="1227"/>
      <c r="AC1402" s="1227"/>
      <c r="AD1402" s="1227"/>
      <c r="AE1402" s="1227"/>
    </row>
    <row r="1403" spans="28:31">
      <c r="AB1403" s="1227"/>
      <c r="AC1403" s="1227"/>
      <c r="AD1403" s="1227"/>
      <c r="AE1403" s="1227"/>
    </row>
    <row r="1404" spans="28:31">
      <c r="AB1404" s="1227"/>
      <c r="AC1404" s="1227"/>
      <c r="AD1404" s="1227"/>
      <c r="AE1404" s="1227"/>
    </row>
    <row r="1405" spans="28:31">
      <c r="AB1405" s="1227"/>
      <c r="AC1405" s="1227"/>
      <c r="AD1405" s="1227"/>
      <c r="AE1405" s="1227"/>
    </row>
    <row r="1406" spans="28:31">
      <c r="AB1406" s="1227"/>
      <c r="AC1406" s="1227"/>
      <c r="AD1406" s="1227"/>
      <c r="AE1406" s="1227"/>
    </row>
    <row r="1407" spans="28:31">
      <c r="AB1407" s="1227"/>
      <c r="AC1407" s="1227"/>
      <c r="AD1407" s="1227"/>
      <c r="AE1407" s="1227"/>
    </row>
    <row r="1408" spans="28:31">
      <c r="AB1408" s="1227"/>
      <c r="AC1408" s="1227"/>
      <c r="AD1408" s="1227"/>
      <c r="AE1408" s="1227"/>
    </row>
    <row r="1409" spans="28:31">
      <c r="AB1409" s="1227"/>
      <c r="AC1409" s="1227"/>
      <c r="AD1409" s="1227"/>
      <c r="AE1409" s="1227"/>
    </row>
    <row r="1410" spans="28:31">
      <c r="AB1410" s="1227"/>
      <c r="AC1410" s="1227"/>
      <c r="AD1410" s="1227"/>
      <c r="AE1410" s="1227"/>
    </row>
    <row r="1411" spans="28:31">
      <c r="AB1411" s="1227"/>
      <c r="AC1411" s="1227"/>
      <c r="AD1411" s="1227"/>
      <c r="AE1411" s="1227"/>
    </row>
    <row r="1412" spans="28:31">
      <c r="AB1412" s="1227"/>
      <c r="AC1412" s="1227"/>
      <c r="AD1412" s="1227"/>
      <c r="AE1412" s="1227"/>
    </row>
    <row r="1413" spans="28:31">
      <c r="AB1413" s="1227"/>
      <c r="AC1413" s="1227"/>
      <c r="AD1413" s="1227"/>
      <c r="AE1413" s="1227"/>
    </row>
    <row r="1414" spans="28:31">
      <c r="AB1414" s="1227"/>
      <c r="AC1414" s="1227"/>
      <c r="AD1414" s="1227"/>
      <c r="AE1414" s="1227"/>
    </row>
    <row r="1415" spans="28:31">
      <c r="AB1415" s="1227"/>
      <c r="AC1415" s="1227"/>
      <c r="AD1415" s="1227"/>
      <c r="AE1415" s="1227"/>
    </row>
    <row r="1416" spans="28:31">
      <c r="AB1416" s="1227"/>
      <c r="AC1416" s="1227"/>
      <c r="AD1416" s="1227"/>
      <c r="AE1416" s="1227"/>
    </row>
    <row r="1417" spans="28:31">
      <c r="AB1417" s="1227"/>
      <c r="AC1417" s="1227"/>
      <c r="AD1417" s="1227"/>
      <c r="AE1417" s="1227"/>
    </row>
    <row r="1418" spans="28:31">
      <c r="AB1418" s="1227"/>
      <c r="AC1418" s="1227"/>
      <c r="AD1418" s="1227"/>
      <c r="AE1418" s="1227"/>
    </row>
    <row r="1419" spans="28:31">
      <c r="AB1419" s="1227"/>
      <c r="AC1419" s="1227"/>
      <c r="AD1419" s="1227"/>
      <c r="AE1419" s="1227"/>
    </row>
    <row r="1420" spans="28:31">
      <c r="AB1420" s="1227"/>
      <c r="AC1420" s="1227"/>
      <c r="AD1420" s="1227"/>
      <c r="AE1420" s="1227"/>
    </row>
    <row r="1421" spans="28:31">
      <c r="AB1421" s="1227"/>
      <c r="AC1421" s="1227"/>
      <c r="AD1421" s="1227"/>
      <c r="AE1421" s="1227"/>
    </row>
    <row r="1422" spans="28:31">
      <c r="AB1422" s="1227"/>
      <c r="AC1422" s="1227"/>
      <c r="AD1422" s="1227"/>
      <c r="AE1422" s="1227"/>
    </row>
    <row r="1423" spans="28:31">
      <c r="AB1423" s="1227"/>
      <c r="AC1423" s="1227"/>
      <c r="AD1423" s="1227"/>
      <c r="AE1423" s="1227"/>
    </row>
    <row r="1424" spans="28:31">
      <c r="AB1424" s="1227"/>
      <c r="AC1424" s="1227"/>
      <c r="AD1424" s="1227"/>
      <c r="AE1424" s="1227"/>
    </row>
    <row r="1425" spans="28:31">
      <c r="AB1425" s="1227"/>
      <c r="AC1425" s="1227"/>
      <c r="AD1425" s="1227"/>
      <c r="AE1425" s="1227"/>
    </row>
    <row r="1426" spans="28:31">
      <c r="AB1426" s="1227"/>
      <c r="AC1426" s="1227"/>
      <c r="AD1426" s="1227"/>
      <c r="AE1426" s="1227"/>
    </row>
    <row r="1427" spans="28:31">
      <c r="AB1427" s="1227"/>
      <c r="AC1427" s="1227"/>
      <c r="AD1427" s="1227"/>
      <c r="AE1427" s="1227"/>
    </row>
    <row r="1428" spans="28:31">
      <c r="AB1428" s="1227"/>
      <c r="AC1428" s="1227"/>
      <c r="AD1428" s="1227"/>
      <c r="AE1428" s="1227"/>
    </row>
    <row r="1429" spans="28:31">
      <c r="AB1429" s="1227"/>
      <c r="AC1429" s="1227"/>
      <c r="AD1429" s="1227"/>
      <c r="AE1429" s="1227"/>
    </row>
    <row r="1430" spans="28:31">
      <c r="AB1430" s="1227"/>
      <c r="AC1430" s="1227"/>
      <c r="AD1430" s="1227"/>
      <c r="AE1430" s="1227"/>
    </row>
    <row r="1431" spans="28:31">
      <c r="AB1431" s="1227"/>
      <c r="AC1431" s="1227"/>
      <c r="AD1431" s="1227"/>
      <c r="AE1431" s="1227"/>
    </row>
    <row r="1432" spans="28:31">
      <c r="AB1432" s="1227"/>
      <c r="AC1432" s="1227"/>
      <c r="AD1432" s="1227"/>
      <c r="AE1432" s="1227"/>
    </row>
    <row r="1433" spans="28:31">
      <c r="AB1433" s="1227"/>
      <c r="AC1433" s="1227"/>
      <c r="AD1433" s="1227"/>
      <c r="AE1433" s="1227"/>
    </row>
    <row r="1434" spans="28:31">
      <c r="AB1434" s="1227"/>
      <c r="AC1434" s="1227"/>
      <c r="AD1434" s="1227"/>
      <c r="AE1434" s="1227"/>
    </row>
    <row r="1435" spans="28:31">
      <c r="AB1435" s="1227"/>
      <c r="AC1435" s="1227"/>
      <c r="AD1435" s="1227"/>
      <c r="AE1435" s="1227"/>
    </row>
    <row r="1436" spans="28:31">
      <c r="AB1436" s="1227"/>
      <c r="AC1436" s="1227"/>
      <c r="AD1436" s="1227"/>
      <c r="AE1436" s="1227"/>
    </row>
    <row r="1437" spans="28:31">
      <c r="AB1437" s="1227"/>
      <c r="AC1437" s="1227"/>
      <c r="AD1437" s="1227"/>
      <c r="AE1437" s="1227"/>
    </row>
    <row r="1438" spans="28:31">
      <c r="AB1438" s="1227"/>
      <c r="AC1438" s="1227"/>
      <c r="AD1438" s="1227"/>
      <c r="AE1438" s="1227"/>
    </row>
    <row r="1439" spans="28:31">
      <c r="AB1439" s="1227"/>
      <c r="AC1439" s="1227"/>
      <c r="AD1439" s="1227"/>
      <c r="AE1439" s="1227"/>
    </row>
    <row r="1440" spans="28:31">
      <c r="AB1440" s="1227"/>
      <c r="AC1440" s="1227"/>
      <c r="AD1440" s="1227"/>
      <c r="AE1440" s="1227"/>
    </row>
    <row r="1441" spans="28:31">
      <c r="AB1441" s="1227"/>
      <c r="AC1441" s="1227"/>
      <c r="AD1441" s="1227"/>
      <c r="AE1441" s="1227"/>
    </row>
    <row r="1442" spans="28:31">
      <c r="AB1442" s="1227"/>
      <c r="AC1442" s="1227"/>
      <c r="AD1442" s="1227"/>
      <c r="AE1442" s="1227"/>
    </row>
    <row r="1443" spans="28:31">
      <c r="AB1443" s="1227"/>
      <c r="AC1443" s="1227"/>
      <c r="AD1443" s="1227"/>
      <c r="AE1443" s="1227"/>
    </row>
    <row r="1444" spans="28:31">
      <c r="AB1444" s="1227"/>
      <c r="AC1444" s="1227"/>
      <c r="AD1444" s="1227"/>
      <c r="AE1444" s="1227"/>
    </row>
    <row r="1445" spans="28:31">
      <c r="AB1445" s="1227"/>
      <c r="AC1445" s="1227"/>
      <c r="AD1445" s="1227"/>
      <c r="AE1445" s="1227"/>
    </row>
    <row r="1446" spans="28:31">
      <c r="AB1446" s="1227"/>
      <c r="AC1446" s="1227"/>
      <c r="AD1446" s="1227"/>
      <c r="AE1446" s="1227"/>
    </row>
    <row r="1447" spans="28:31">
      <c r="AB1447" s="1227"/>
      <c r="AC1447" s="1227"/>
      <c r="AD1447" s="1227"/>
      <c r="AE1447" s="1227"/>
    </row>
    <row r="1448" spans="28:31">
      <c r="AB1448" s="1227"/>
      <c r="AC1448" s="1227"/>
      <c r="AD1448" s="1227"/>
      <c r="AE1448" s="1227"/>
    </row>
    <row r="1449" spans="28:31">
      <c r="AB1449" s="1227"/>
      <c r="AC1449" s="1227"/>
      <c r="AD1449" s="1227"/>
      <c r="AE1449" s="1227"/>
    </row>
    <row r="1450" spans="28:31">
      <c r="AB1450" s="1227"/>
      <c r="AC1450" s="1227"/>
      <c r="AD1450" s="1227"/>
      <c r="AE1450" s="1227"/>
    </row>
    <row r="1451" spans="28:31">
      <c r="AB1451" s="1227"/>
      <c r="AC1451" s="1227"/>
      <c r="AD1451" s="1227"/>
      <c r="AE1451" s="1227"/>
    </row>
    <row r="1452" spans="28:31">
      <c r="AB1452" s="1227"/>
      <c r="AC1452" s="1227"/>
      <c r="AD1452" s="1227"/>
      <c r="AE1452" s="1227"/>
    </row>
    <row r="1453" spans="28:31">
      <c r="AB1453" s="1227"/>
      <c r="AC1453" s="1227"/>
      <c r="AD1453" s="1227"/>
      <c r="AE1453" s="1227"/>
    </row>
    <row r="1454" spans="28:31">
      <c r="AB1454" s="1227"/>
      <c r="AC1454" s="1227"/>
      <c r="AD1454" s="1227"/>
      <c r="AE1454" s="1227"/>
    </row>
    <row r="1455" spans="28:31">
      <c r="AB1455" s="1227"/>
      <c r="AC1455" s="1227"/>
      <c r="AD1455" s="1227"/>
      <c r="AE1455" s="1227"/>
    </row>
    <row r="1456" spans="28:31">
      <c r="AB1456" s="1227"/>
      <c r="AC1456" s="1227"/>
      <c r="AD1456" s="1227"/>
      <c r="AE1456" s="1227"/>
    </row>
    <row r="1457" spans="28:31">
      <c r="AB1457" s="1227"/>
      <c r="AC1457" s="1227"/>
      <c r="AD1457" s="1227"/>
      <c r="AE1457" s="1227"/>
    </row>
    <row r="1458" spans="28:31">
      <c r="AB1458" s="1227"/>
      <c r="AC1458" s="1227"/>
      <c r="AD1458" s="1227"/>
      <c r="AE1458" s="1227"/>
    </row>
    <row r="1459" spans="28:31">
      <c r="AB1459" s="1227"/>
      <c r="AC1459" s="1227"/>
      <c r="AD1459" s="1227"/>
      <c r="AE1459" s="1227"/>
    </row>
    <row r="1460" spans="28:31">
      <c r="AB1460" s="1227"/>
      <c r="AC1460" s="1227"/>
      <c r="AD1460" s="1227"/>
      <c r="AE1460" s="1227"/>
    </row>
    <row r="1461" spans="28:31">
      <c r="AB1461" s="1227"/>
      <c r="AC1461" s="1227"/>
      <c r="AD1461" s="1227"/>
      <c r="AE1461" s="1227"/>
    </row>
    <row r="1462" spans="28:31">
      <c r="AB1462" s="1227"/>
      <c r="AC1462" s="1227"/>
      <c r="AD1462" s="1227"/>
      <c r="AE1462" s="1227"/>
    </row>
    <row r="1463" spans="28:31">
      <c r="AB1463" s="1227"/>
      <c r="AC1463" s="1227"/>
      <c r="AD1463" s="1227"/>
      <c r="AE1463" s="1227"/>
    </row>
    <row r="1464" spans="28:31">
      <c r="AB1464" s="1227"/>
      <c r="AC1464" s="1227"/>
      <c r="AD1464" s="1227"/>
      <c r="AE1464" s="1227"/>
    </row>
    <row r="1465" spans="28:31">
      <c r="AB1465" s="1227"/>
      <c r="AC1465" s="1227"/>
      <c r="AD1465" s="1227"/>
      <c r="AE1465" s="1227"/>
    </row>
    <row r="1466" spans="28:31">
      <c r="AB1466" s="1227"/>
      <c r="AC1466" s="1227"/>
      <c r="AD1466" s="1227"/>
      <c r="AE1466" s="1227"/>
    </row>
    <row r="1467" spans="28:31">
      <c r="AB1467" s="1227"/>
      <c r="AC1467" s="1227"/>
      <c r="AD1467" s="1227"/>
      <c r="AE1467" s="1227"/>
    </row>
    <row r="1468" spans="28:31">
      <c r="AB1468" s="1227"/>
      <c r="AC1468" s="1227"/>
      <c r="AD1468" s="1227"/>
      <c r="AE1468" s="1227"/>
    </row>
    <row r="1469" spans="28:31">
      <c r="AB1469" s="1227"/>
      <c r="AC1469" s="1227"/>
      <c r="AD1469" s="1227"/>
      <c r="AE1469" s="1227"/>
    </row>
    <row r="1470" spans="28:31">
      <c r="AB1470" s="1227"/>
      <c r="AC1470" s="1227"/>
      <c r="AD1470" s="1227"/>
      <c r="AE1470" s="1227"/>
    </row>
    <row r="1471" spans="28:31">
      <c r="AB1471" s="1227"/>
      <c r="AC1471" s="1227"/>
      <c r="AD1471" s="1227"/>
      <c r="AE1471" s="1227"/>
    </row>
    <row r="1472" spans="28:31">
      <c r="AB1472" s="1227"/>
      <c r="AC1472" s="1227"/>
      <c r="AD1472" s="1227"/>
      <c r="AE1472" s="1227"/>
    </row>
    <row r="1473" spans="28:31">
      <c r="AB1473" s="1227"/>
      <c r="AC1473" s="1227"/>
      <c r="AD1473" s="1227"/>
      <c r="AE1473" s="1227"/>
    </row>
    <row r="1474" spans="28:31">
      <c r="AB1474" s="1227"/>
      <c r="AC1474" s="1227"/>
      <c r="AD1474" s="1227"/>
      <c r="AE1474" s="1227"/>
    </row>
    <row r="1475" spans="28:31">
      <c r="AB1475" s="1227"/>
      <c r="AC1475" s="1227"/>
      <c r="AD1475" s="1227"/>
      <c r="AE1475" s="1227"/>
    </row>
    <row r="1476" spans="28:31">
      <c r="AB1476" s="1227"/>
      <c r="AC1476" s="1227"/>
      <c r="AD1476" s="1227"/>
      <c r="AE1476" s="1227"/>
    </row>
    <row r="1477" spans="28:31">
      <c r="AB1477" s="1227"/>
      <c r="AC1477" s="1227"/>
      <c r="AD1477" s="1227"/>
      <c r="AE1477" s="1227"/>
    </row>
    <row r="1478" spans="28:31">
      <c r="AB1478" s="1227"/>
      <c r="AC1478" s="1227"/>
      <c r="AD1478" s="1227"/>
      <c r="AE1478" s="1227"/>
    </row>
    <row r="1479" spans="28:31">
      <c r="AB1479" s="1227"/>
      <c r="AC1479" s="1227"/>
      <c r="AD1479" s="1227"/>
      <c r="AE1479" s="1227"/>
    </row>
    <row r="1480" spans="28:31">
      <c r="AB1480" s="1227"/>
      <c r="AC1480" s="1227"/>
      <c r="AD1480" s="1227"/>
      <c r="AE1480" s="1227"/>
    </row>
    <row r="1481" spans="28:31">
      <c r="AB1481" s="1227"/>
      <c r="AC1481" s="1227"/>
      <c r="AD1481" s="1227"/>
      <c r="AE1481" s="1227"/>
    </row>
    <row r="1482" spans="28:31">
      <c r="AB1482" s="1227"/>
      <c r="AC1482" s="1227"/>
      <c r="AD1482" s="1227"/>
      <c r="AE1482" s="1227"/>
    </row>
    <row r="1483" spans="28:31">
      <c r="AB1483" s="1227"/>
      <c r="AC1483" s="1227"/>
      <c r="AD1483" s="1227"/>
      <c r="AE1483" s="1227"/>
    </row>
    <row r="1484" spans="28:31">
      <c r="AB1484" s="1227"/>
      <c r="AC1484" s="1227"/>
      <c r="AD1484" s="1227"/>
      <c r="AE1484" s="1227"/>
    </row>
    <row r="1485" spans="28:31">
      <c r="AB1485" s="1227"/>
      <c r="AC1485" s="1227"/>
      <c r="AD1485" s="1227"/>
      <c r="AE1485" s="1227"/>
    </row>
    <row r="1486" spans="28:31">
      <c r="AB1486" s="1227"/>
      <c r="AC1486" s="1227"/>
      <c r="AD1486" s="1227"/>
      <c r="AE1486" s="1227"/>
    </row>
    <row r="1487" spans="28:31">
      <c r="AB1487" s="1227"/>
      <c r="AC1487" s="1227"/>
      <c r="AD1487" s="1227"/>
      <c r="AE1487" s="1227"/>
    </row>
    <row r="1488" spans="28:31">
      <c r="AB1488" s="1227"/>
      <c r="AC1488" s="1227"/>
      <c r="AD1488" s="1227"/>
      <c r="AE1488" s="1227"/>
    </row>
    <row r="1489" spans="28:31">
      <c r="AB1489" s="1227"/>
      <c r="AC1489" s="1227"/>
      <c r="AD1489" s="1227"/>
      <c r="AE1489" s="1227"/>
    </row>
    <row r="1490" spans="28:31">
      <c r="AB1490" s="1227"/>
      <c r="AC1490" s="1227"/>
      <c r="AD1490" s="1227"/>
      <c r="AE1490" s="1227"/>
    </row>
    <row r="1491" spans="28:31">
      <c r="AB1491" s="1227"/>
      <c r="AC1491" s="1227"/>
      <c r="AD1491" s="1227"/>
      <c r="AE1491" s="1227"/>
    </row>
    <row r="1492" spans="28:31">
      <c r="AB1492" s="1227"/>
      <c r="AC1492" s="1227"/>
      <c r="AD1492" s="1227"/>
      <c r="AE1492" s="1227"/>
    </row>
    <row r="1493" spans="28:31">
      <c r="AB1493" s="1227"/>
      <c r="AC1493" s="1227"/>
      <c r="AD1493" s="1227"/>
      <c r="AE1493" s="1227"/>
    </row>
    <row r="1494" spans="28:31">
      <c r="AB1494" s="1227"/>
      <c r="AC1494" s="1227"/>
      <c r="AD1494" s="1227"/>
      <c r="AE1494" s="1227"/>
    </row>
    <row r="1495" spans="28:31">
      <c r="AB1495" s="1227"/>
      <c r="AC1495" s="1227"/>
      <c r="AD1495" s="1227"/>
      <c r="AE1495" s="1227"/>
    </row>
    <row r="1496" spans="28:31">
      <c r="AB1496" s="1227"/>
      <c r="AC1496" s="1227"/>
      <c r="AD1496" s="1227"/>
      <c r="AE1496" s="1227"/>
    </row>
    <row r="1497" spans="28:31">
      <c r="AB1497" s="1227"/>
      <c r="AC1497" s="1227"/>
      <c r="AD1497" s="1227"/>
      <c r="AE1497" s="1227"/>
    </row>
    <row r="1498" spans="28:31">
      <c r="AB1498" s="1227"/>
      <c r="AC1498" s="1227"/>
      <c r="AD1498" s="1227"/>
      <c r="AE1498" s="1227"/>
    </row>
    <row r="1499" spans="28:31">
      <c r="AB1499" s="1227"/>
      <c r="AC1499" s="1227"/>
      <c r="AD1499" s="1227"/>
      <c r="AE1499" s="1227"/>
    </row>
    <row r="1500" spans="28:31">
      <c r="AB1500" s="1227"/>
      <c r="AC1500" s="1227"/>
      <c r="AD1500" s="1227"/>
      <c r="AE1500" s="1227"/>
    </row>
    <row r="1501" spans="28:31">
      <c r="AB1501" s="1227"/>
      <c r="AC1501" s="1227"/>
      <c r="AD1501" s="1227"/>
      <c r="AE1501" s="1227"/>
    </row>
    <row r="1502" spans="28:31">
      <c r="AB1502" s="1227"/>
      <c r="AC1502" s="1227"/>
      <c r="AD1502" s="1227"/>
      <c r="AE1502" s="1227"/>
    </row>
    <row r="1503" spans="28:31">
      <c r="AB1503" s="1227"/>
      <c r="AC1503" s="1227"/>
      <c r="AD1503" s="1227"/>
      <c r="AE1503" s="1227"/>
    </row>
    <row r="1504" spans="28:31">
      <c r="AB1504" s="1227"/>
      <c r="AC1504" s="1227"/>
      <c r="AD1504" s="1227"/>
      <c r="AE1504" s="1227"/>
    </row>
    <row r="1505" spans="28:31">
      <c r="AB1505" s="1227"/>
      <c r="AC1505" s="1227"/>
      <c r="AD1505" s="1227"/>
      <c r="AE1505" s="1227"/>
    </row>
    <row r="1506" spans="28:31">
      <c r="AB1506" s="1227"/>
      <c r="AC1506" s="1227"/>
      <c r="AD1506" s="1227"/>
      <c r="AE1506" s="1227"/>
    </row>
    <row r="1507" spans="28:31">
      <c r="AB1507" s="1227"/>
      <c r="AC1507" s="1227"/>
      <c r="AD1507" s="1227"/>
      <c r="AE1507" s="1227"/>
    </row>
    <row r="1508" spans="28:31">
      <c r="AB1508" s="1227"/>
      <c r="AC1508" s="1227"/>
      <c r="AD1508" s="1227"/>
      <c r="AE1508" s="1227"/>
    </row>
    <row r="1509" spans="28:31">
      <c r="AB1509" s="1227"/>
      <c r="AC1509" s="1227"/>
      <c r="AD1509" s="1227"/>
      <c r="AE1509" s="1227"/>
    </row>
    <row r="1510" spans="28:31">
      <c r="AB1510" s="1227"/>
      <c r="AC1510" s="1227"/>
      <c r="AD1510" s="1227"/>
      <c r="AE1510" s="1227"/>
    </row>
    <row r="1511" spans="28:31">
      <c r="AB1511" s="1227"/>
      <c r="AC1511" s="1227"/>
      <c r="AD1511" s="1227"/>
      <c r="AE1511" s="1227"/>
    </row>
    <row r="1512" spans="28:31">
      <c r="AB1512" s="1227"/>
      <c r="AC1512" s="1227"/>
      <c r="AD1512" s="1227"/>
      <c r="AE1512" s="1227"/>
    </row>
    <row r="1513" spans="28:31">
      <c r="AB1513" s="1227"/>
      <c r="AC1513" s="1227"/>
      <c r="AD1513" s="1227"/>
      <c r="AE1513" s="1227"/>
    </row>
    <row r="1514" spans="28:31">
      <c r="AB1514" s="1227"/>
      <c r="AC1514" s="1227"/>
      <c r="AD1514" s="1227"/>
      <c r="AE1514" s="1227"/>
    </row>
    <row r="1515" spans="28:31">
      <c r="AB1515" s="1227"/>
      <c r="AC1515" s="1227"/>
      <c r="AD1515" s="1227"/>
      <c r="AE1515" s="1227"/>
    </row>
    <row r="1516" spans="28:31">
      <c r="AB1516" s="1227"/>
      <c r="AC1516" s="1227"/>
      <c r="AD1516" s="1227"/>
      <c r="AE1516" s="1227"/>
    </row>
    <row r="1517" spans="28:31">
      <c r="AB1517" s="1227"/>
      <c r="AC1517" s="1227"/>
      <c r="AD1517" s="1227"/>
      <c r="AE1517" s="1227"/>
    </row>
    <row r="1518" spans="28:31">
      <c r="AB1518" s="1227"/>
      <c r="AC1518" s="1227"/>
      <c r="AD1518" s="1227"/>
      <c r="AE1518" s="1227"/>
    </row>
    <row r="1519" spans="28:31">
      <c r="AB1519" s="1227"/>
      <c r="AC1519" s="1227"/>
      <c r="AD1519" s="1227"/>
      <c r="AE1519" s="1227"/>
    </row>
    <row r="1520" spans="28:31">
      <c r="AB1520" s="1227"/>
      <c r="AC1520" s="1227"/>
      <c r="AD1520" s="1227"/>
      <c r="AE1520" s="1227"/>
    </row>
    <row r="1521" spans="28:31">
      <c r="AB1521" s="1227"/>
      <c r="AC1521" s="1227"/>
      <c r="AD1521" s="1227"/>
      <c r="AE1521" s="1227"/>
    </row>
    <row r="1522" spans="28:31">
      <c r="AB1522" s="1227"/>
      <c r="AC1522" s="1227"/>
      <c r="AD1522" s="1227"/>
      <c r="AE1522" s="1227"/>
    </row>
    <row r="1523" spans="28:31">
      <c r="AB1523" s="1227"/>
      <c r="AC1523" s="1227"/>
      <c r="AD1523" s="1227"/>
      <c r="AE1523" s="1227"/>
    </row>
    <row r="1524" spans="28:31">
      <c r="AB1524" s="1227"/>
      <c r="AC1524" s="1227"/>
      <c r="AD1524" s="1227"/>
      <c r="AE1524" s="1227"/>
    </row>
    <row r="1525" spans="28:31">
      <c r="AB1525" s="1227"/>
      <c r="AC1525" s="1227"/>
      <c r="AD1525" s="1227"/>
      <c r="AE1525" s="1227"/>
    </row>
    <row r="1526" spans="28:31">
      <c r="AB1526" s="1227"/>
      <c r="AC1526" s="1227"/>
      <c r="AD1526" s="1227"/>
      <c r="AE1526" s="1227"/>
    </row>
    <row r="1527" spans="28:31">
      <c r="AB1527" s="1227"/>
      <c r="AC1527" s="1227"/>
      <c r="AD1527" s="1227"/>
      <c r="AE1527" s="1227"/>
    </row>
    <row r="1528" spans="28:31">
      <c r="AB1528" s="1227"/>
      <c r="AC1528" s="1227"/>
      <c r="AD1528" s="1227"/>
      <c r="AE1528" s="1227"/>
    </row>
    <row r="1529" spans="28:31">
      <c r="AB1529" s="1227"/>
      <c r="AC1529" s="1227"/>
      <c r="AD1529" s="1227"/>
      <c r="AE1529" s="1227"/>
    </row>
    <row r="1530" spans="28:31">
      <c r="AB1530" s="1227"/>
      <c r="AC1530" s="1227"/>
      <c r="AD1530" s="1227"/>
      <c r="AE1530" s="1227"/>
    </row>
    <row r="1531" spans="28:31">
      <c r="AB1531" s="1227"/>
      <c r="AC1531" s="1227"/>
      <c r="AD1531" s="1227"/>
      <c r="AE1531" s="1227"/>
    </row>
    <row r="1532" spans="28:31">
      <c r="AB1532" s="1227"/>
      <c r="AC1532" s="1227"/>
      <c r="AD1532" s="1227"/>
      <c r="AE1532" s="1227"/>
    </row>
    <row r="1533" spans="28:31">
      <c r="AB1533" s="1227"/>
      <c r="AC1533" s="1227"/>
      <c r="AD1533" s="1227"/>
      <c r="AE1533" s="1227"/>
    </row>
    <row r="1534" spans="28:31">
      <c r="AB1534" s="1227"/>
      <c r="AC1534" s="1227"/>
      <c r="AD1534" s="1227"/>
      <c r="AE1534" s="1227"/>
    </row>
    <row r="1535" spans="28:31">
      <c r="AB1535" s="1227"/>
      <c r="AC1535" s="1227"/>
      <c r="AD1535" s="1227"/>
      <c r="AE1535" s="1227"/>
    </row>
    <row r="1536" spans="28:31">
      <c r="AB1536" s="1227"/>
      <c r="AC1536" s="1227"/>
      <c r="AD1536" s="1227"/>
      <c r="AE1536" s="1227"/>
    </row>
    <row r="1537" spans="28:31">
      <c r="AB1537" s="1227"/>
      <c r="AC1537" s="1227"/>
      <c r="AD1537" s="1227"/>
      <c r="AE1537" s="1227"/>
    </row>
    <row r="1538" spans="28:31">
      <c r="AB1538" s="1227"/>
      <c r="AC1538" s="1227"/>
      <c r="AD1538" s="1227"/>
      <c r="AE1538" s="1227"/>
    </row>
    <row r="1539" spans="28:31">
      <c r="AB1539" s="1227"/>
      <c r="AC1539" s="1227"/>
      <c r="AD1539" s="1227"/>
      <c r="AE1539" s="1227"/>
    </row>
    <row r="1540" spans="28:31">
      <c r="AB1540" s="1227"/>
      <c r="AC1540" s="1227"/>
      <c r="AD1540" s="1227"/>
      <c r="AE1540" s="1227"/>
    </row>
    <row r="1541" spans="28:31">
      <c r="AB1541" s="1227"/>
      <c r="AC1541" s="1227"/>
      <c r="AD1541" s="1227"/>
      <c r="AE1541" s="1227"/>
    </row>
    <row r="1542" spans="28:31">
      <c r="AB1542" s="1227"/>
      <c r="AC1542" s="1227"/>
      <c r="AD1542" s="1227"/>
      <c r="AE1542" s="1227"/>
    </row>
    <row r="1543" spans="28:31">
      <c r="AB1543" s="1227"/>
      <c r="AC1543" s="1227"/>
      <c r="AD1543" s="1227"/>
      <c r="AE1543" s="1227"/>
    </row>
    <row r="1544" spans="28:31">
      <c r="AB1544" s="1227"/>
      <c r="AC1544" s="1227"/>
      <c r="AD1544" s="1227"/>
      <c r="AE1544" s="1227"/>
    </row>
    <row r="1545" spans="28:31">
      <c r="AB1545" s="1227"/>
      <c r="AC1545" s="1227"/>
      <c r="AD1545" s="1227"/>
      <c r="AE1545" s="1227"/>
    </row>
    <row r="1546" spans="28:31">
      <c r="AB1546" s="1227"/>
      <c r="AC1546" s="1227"/>
      <c r="AD1546" s="1227"/>
      <c r="AE1546" s="1227"/>
    </row>
    <row r="1547" spans="28:31">
      <c r="AB1547" s="1227"/>
      <c r="AC1547" s="1227"/>
      <c r="AD1547" s="1227"/>
      <c r="AE1547" s="1227"/>
    </row>
    <row r="1548" spans="28:31">
      <c r="AB1548" s="1227"/>
      <c r="AC1548" s="1227"/>
      <c r="AD1548" s="1227"/>
      <c r="AE1548" s="1227"/>
    </row>
    <row r="1549" spans="28:31">
      <c r="AB1549" s="1227"/>
      <c r="AC1549" s="1227"/>
      <c r="AD1549" s="1227"/>
      <c r="AE1549" s="1227"/>
    </row>
    <row r="1550" spans="28:31">
      <c r="AB1550" s="1227"/>
      <c r="AC1550" s="1227"/>
      <c r="AD1550" s="1227"/>
      <c r="AE1550" s="1227"/>
    </row>
    <row r="1551" spans="28:31">
      <c r="AB1551" s="1227"/>
      <c r="AC1551" s="1227"/>
      <c r="AD1551" s="1227"/>
      <c r="AE1551" s="1227"/>
    </row>
    <row r="1552" spans="28:31">
      <c r="AB1552" s="1227"/>
      <c r="AC1552" s="1227"/>
      <c r="AD1552" s="1227"/>
      <c r="AE1552" s="1227"/>
    </row>
    <row r="1553" spans="28:31">
      <c r="AB1553" s="1227"/>
      <c r="AC1553" s="1227"/>
      <c r="AD1553" s="1227"/>
      <c r="AE1553" s="1227"/>
    </row>
    <row r="1554" spans="28:31">
      <c r="AB1554" s="1227"/>
      <c r="AC1554" s="1227"/>
      <c r="AD1554" s="1227"/>
      <c r="AE1554" s="1227"/>
    </row>
    <row r="1555" spans="28:31">
      <c r="AB1555" s="1227"/>
      <c r="AC1555" s="1227"/>
      <c r="AD1555" s="1227"/>
      <c r="AE1555" s="1227"/>
    </row>
    <row r="1556" spans="28:31">
      <c r="AB1556" s="1227"/>
      <c r="AC1556" s="1227"/>
      <c r="AD1556" s="1227"/>
      <c r="AE1556" s="1227"/>
    </row>
    <row r="1557" spans="28:31">
      <c r="AB1557" s="1227"/>
      <c r="AC1557" s="1227"/>
      <c r="AD1557" s="1227"/>
      <c r="AE1557" s="1227"/>
    </row>
    <row r="1558" spans="28:31">
      <c r="AB1558" s="1227"/>
      <c r="AC1558" s="1227"/>
      <c r="AD1558" s="1227"/>
      <c r="AE1558" s="1227"/>
    </row>
    <row r="1559" spans="28:31">
      <c r="AB1559" s="1227"/>
      <c r="AC1559" s="1227"/>
      <c r="AD1559" s="1227"/>
      <c r="AE1559" s="1227"/>
    </row>
    <row r="1560" spans="28:31">
      <c r="AB1560" s="1227"/>
      <c r="AC1560" s="1227"/>
      <c r="AD1560" s="1227"/>
      <c r="AE1560" s="1227"/>
    </row>
    <row r="1561" spans="28:31">
      <c r="AB1561" s="1227"/>
      <c r="AC1561" s="1227"/>
      <c r="AD1561" s="1227"/>
      <c r="AE1561" s="1227"/>
    </row>
    <row r="1562" spans="28:31">
      <c r="AB1562" s="1227"/>
      <c r="AC1562" s="1227"/>
      <c r="AD1562" s="1227"/>
      <c r="AE1562" s="1227"/>
    </row>
    <row r="1563" spans="28:31">
      <c r="AB1563" s="1227"/>
      <c r="AC1563" s="1227"/>
      <c r="AD1563" s="1227"/>
      <c r="AE1563" s="1227"/>
    </row>
    <row r="1564" spans="28:31">
      <c r="AB1564" s="1227"/>
      <c r="AC1564" s="1227"/>
      <c r="AD1564" s="1227"/>
      <c r="AE1564" s="1227"/>
    </row>
    <row r="1565" spans="28:31">
      <c r="AB1565" s="1227"/>
      <c r="AC1565" s="1227"/>
      <c r="AD1565" s="1227"/>
      <c r="AE1565" s="1227"/>
    </row>
    <row r="1566" spans="28:31">
      <c r="AB1566" s="1227"/>
      <c r="AC1566" s="1227"/>
      <c r="AD1566" s="1227"/>
      <c r="AE1566" s="1227"/>
    </row>
    <row r="1567" spans="28:31">
      <c r="AB1567" s="1227"/>
      <c r="AC1567" s="1227"/>
      <c r="AD1567" s="1227"/>
      <c r="AE1567" s="1227"/>
    </row>
    <row r="1568" spans="28:31">
      <c r="AB1568" s="1227"/>
      <c r="AC1568" s="1227"/>
      <c r="AD1568" s="1227"/>
      <c r="AE1568" s="1227"/>
    </row>
    <row r="1569" spans="28:31">
      <c r="AB1569" s="1227"/>
      <c r="AC1569" s="1227"/>
      <c r="AD1569" s="1227"/>
      <c r="AE1569" s="1227"/>
    </row>
    <row r="1570" spans="28:31">
      <c r="AB1570" s="1227"/>
      <c r="AC1570" s="1227"/>
      <c r="AD1570" s="1227"/>
      <c r="AE1570" s="1227"/>
    </row>
    <row r="1571" spans="28:31">
      <c r="AB1571" s="1227"/>
      <c r="AC1571" s="1227"/>
      <c r="AD1571" s="1227"/>
      <c r="AE1571" s="1227"/>
    </row>
    <row r="1572" spans="28:31">
      <c r="AB1572" s="1227"/>
      <c r="AC1572" s="1227"/>
      <c r="AD1572" s="1227"/>
      <c r="AE1572" s="1227"/>
    </row>
    <row r="1573" spans="28:31">
      <c r="AB1573" s="1227"/>
      <c r="AC1573" s="1227"/>
      <c r="AD1573" s="1227"/>
      <c r="AE1573" s="1227"/>
    </row>
    <row r="1574" spans="28:31">
      <c r="AB1574" s="1227"/>
      <c r="AC1574" s="1227"/>
      <c r="AD1574" s="1227"/>
      <c r="AE1574" s="1227"/>
    </row>
    <row r="1575" spans="28:31">
      <c r="AB1575" s="1227"/>
      <c r="AC1575" s="1227"/>
      <c r="AD1575" s="1227"/>
      <c r="AE1575" s="1227"/>
    </row>
    <row r="1576" spans="28:31">
      <c r="AB1576" s="1227"/>
      <c r="AC1576" s="1227"/>
      <c r="AD1576" s="1227"/>
      <c r="AE1576" s="1227"/>
    </row>
    <row r="1577" spans="28:31">
      <c r="AB1577" s="1227"/>
      <c r="AC1577" s="1227"/>
      <c r="AD1577" s="1227"/>
      <c r="AE1577" s="1227"/>
    </row>
    <row r="1578" spans="28:31">
      <c r="AB1578" s="1227"/>
      <c r="AC1578" s="1227"/>
      <c r="AD1578" s="1227"/>
      <c r="AE1578" s="1227"/>
    </row>
    <row r="1579" spans="28:31">
      <c r="AB1579" s="1227"/>
      <c r="AC1579" s="1227"/>
      <c r="AD1579" s="1227"/>
      <c r="AE1579" s="1227"/>
    </row>
    <row r="1580" spans="28:31">
      <c r="AB1580" s="1227"/>
      <c r="AC1580" s="1227"/>
      <c r="AD1580" s="1227"/>
      <c r="AE1580" s="1227"/>
    </row>
    <row r="1581" spans="28:31">
      <c r="AB1581" s="1227"/>
      <c r="AC1581" s="1227"/>
      <c r="AD1581" s="1227"/>
      <c r="AE1581" s="1227"/>
    </row>
    <row r="1582" spans="28:31">
      <c r="AB1582" s="1227"/>
      <c r="AC1582" s="1227"/>
      <c r="AD1582" s="1227"/>
      <c r="AE1582" s="1227"/>
    </row>
    <row r="1583" spans="28:31">
      <c r="AB1583" s="1227"/>
      <c r="AC1583" s="1227"/>
      <c r="AD1583" s="1227"/>
      <c r="AE1583" s="1227"/>
    </row>
    <row r="1584" spans="28:31">
      <c r="AB1584" s="1227"/>
      <c r="AC1584" s="1227"/>
      <c r="AD1584" s="1227"/>
      <c r="AE1584" s="1227"/>
    </row>
    <row r="1585" spans="28:31">
      <c r="AB1585" s="1227"/>
      <c r="AC1585" s="1227"/>
      <c r="AD1585" s="1227"/>
      <c r="AE1585" s="1227"/>
    </row>
    <row r="1586" spans="28:31">
      <c r="AB1586" s="1227"/>
      <c r="AC1586" s="1227"/>
      <c r="AD1586" s="1227"/>
      <c r="AE1586" s="1227"/>
    </row>
    <row r="1587" spans="28:31">
      <c r="AB1587" s="1227"/>
      <c r="AC1587" s="1227"/>
      <c r="AD1587" s="1227"/>
      <c r="AE1587" s="1227"/>
    </row>
    <row r="1588" spans="28:31">
      <c r="AB1588" s="1227"/>
      <c r="AC1588" s="1227"/>
      <c r="AD1588" s="1227"/>
      <c r="AE1588" s="1227"/>
    </row>
    <row r="1589" spans="28:31">
      <c r="AB1589" s="1227"/>
      <c r="AC1589" s="1227"/>
      <c r="AD1589" s="1227"/>
      <c r="AE1589" s="1227"/>
    </row>
    <row r="1590" spans="28:31">
      <c r="AB1590" s="1227"/>
      <c r="AC1590" s="1227"/>
      <c r="AD1590" s="1227"/>
      <c r="AE1590" s="1227"/>
    </row>
    <row r="1591" spans="28:31">
      <c r="AB1591" s="1227"/>
      <c r="AC1591" s="1227"/>
      <c r="AD1591" s="1227"/>
      <c r="AE1591" s="1227"/>
    </row>
    <row r="1592" spans="28:31">
      <c r="AB1592" s="1227"/>
      <c r="AC1592" s="1227"/>
      <c r="AD1592" s="1227"/>
      <c r="AE1592" s="1227"/>
    </row>
    <row r="1593" spans="28:31">
      <c r="AB1593" s="1227"/>
      <c r="AC1593" s="1227"/>
      <c r="AD1593" s="1227"/>
      <c r="AE1593" s="1227"/>
    </row>
    <row r="1594" spans="28:31">
      <c r="AB1594" s="1227"/>
      <c r="AC1594" s="1227"/>
      <c r="AD1594" s="1227"/>
      <c r="AE1594" s="1227"/>
    </row>
    <row r="1595" spans="28:31">
      <c r="AB1595" s="1227"/>
      <c r="AC1595" s="1227"/>
      <c r="AD1595" s="1227"/>
      <c r="AE1595" s="1227"/>
    </row>
    <row r="1596" spans="28:31">
      <c r="AB1596" s="1227"/>
      <c r="AC1596" s="1227"/>
      <c r="AD1596" s="1227"/>
      <c r="AE1596" s="1227"/>
    </row>
    <row r="1597" spans="28:31">
      <c r="AB1597" s="1227"/>
      <c r="AC1597" s="1227"/>
      <c r="AD1597" s="1227"/>
      <c r="AE1597" s="1227"/>
    </row>
    <row r="1598" spans="28:31">
      <c r="AB1598" s="1227"/>
      <c r="AC1598" s="1227"/>
      <c r="AD1598" s="1227"/>
      <c r="AE1598" s="1227"/>
    </row>
    <row r="1599" spans="28:31">
      <c r="AB1599" s="1227"/>
      <c r="AC1599" s="1227"/>
      <c r="AD1599" s="1227"/>
      <c r="AE1599" s="1227"/>
    </row>
    <row r="1600" spans="28:31">
      <c r="AB1600" s="1227"/>
      <c r="AC1600" s="1227"/>
      <c r="AD1600" s="1227"/>
      <c r="AE1600" s="1227"/>
    </row>
    <row r="1601" spans="28:31">
      <c r="AB1601" s="1227"/>
      <c r="AC1601" s="1227"/>
      <c r="AD1601" s="1227"/>
      <c r="AE1601" s="1227"/>
    </row>
    <row r="1602" spans="28:31">
      <c r="AB1602" s="1227"/>
      <c r="AC1602" s="1227"/>
      <c r="AD1602" s="1227"/>
      <c r="AE1602" s="1227"/>
    </row>
    <row r="1603" spans="28:31">
      <c r="AB1603" s="1227"/>
      <c r="AC1603" s="1227"/>
      <c r="AD1603" s="1227"/>
      <c r="AE1603" s="1227"/>
    </row>
    <row r="1604" spans="28:31">
      <c r="AB1604" s="1227"/>
      <c r="AC1604" s="1227"/>
      <c r="AD1604" s="1227"/>
      <c r="AE1604" s="1227"/>
    </row>
    <row r="1605" spans="28:31">
      <c r="AB1605" s="1227"/>
      <c r="AC1605" s="1227"/>
      <c r="AD1605" s="1227"/>
      <c r="AE1605" s="1227"/>
    </row>
    <row r="1606" spans="28:31">
      <c r="AB1606" s="1227"/>
      <c r="AC1606" s="1227"/>
      <c r="AD1606" s="1227"/>
      <c r="AE1606" s="1227"/>
    </row>
    <row r="1607" spans="28:31">
      <c r="AB1607" s="1227"/>
      <c r="AC1607" s="1227"/>
      <c r="AD1607" s="1227"/>
      <c r="AE1607" s="1227"/>
    </row>
    <row r="1608" spans="28:31">
      <c r="AB1608" s="1227"/>
      <c r="AC1608" s="1227"/>
      <c r="AD1608" s="1227"/>
      <c r="AE1608" s="1227"/>
    </row>
    <row r="1609" spans="28:31">
      <c r="AB1609" s="1227"/>
      <c r="AC1609" s="1227"/>
      <c r="AD1609" s="1227"/>
      <c r="AE1609" s="1227"/>
    </row>
    <row r="1610" spans="28:31">
      <c r="AB1610" s="1227"/>
      <c r="AC1610" s="1227"/>
      <c r="AD1610" s="1227"/>
      <c r="AE1610" s="1227"/>
    </row>
    <row r="1611" spans="28:31">
      <c r="AB1611" s="1227"/>
      <c r="AC1611" s="1227"/>
      <c r="AD1611" s="1227"/>
      <c r="AE1611" s="1227"/>
    </row>
    <row r="1612" spans="28:31">
      <c r="AB1612" s="1227"/>
      <c r="AC1612" s="1227"/>
      <c r="AD1612" s="1227"/>
      <c r="AE1612" s="1227"/>
    </row>
    <row r="1613" spans="28:31">
      <c r="AB1613" s="1227"/>
      <c r="AC1613" s="1227"/>
      <c r="AD1613" s="1227"/>
      <c r="AE1613" s="1227"/>
    </row>
    <row r="1614" spans="28:31">
      <c r="AB1614" s="1227"/>
      <c r="AC1614" s="1227"/>
      <c r="AD1614" s="1227"/>
      <c r="AE1614" s="1227"/>
    </row>
    <row r="1615" spans="28:31">
      <c r="AB1615" s="1227"/>
      <c r="AC1615" s="1227"/>
      <c r="AD1615" s="1227"/>
      <c r="AE1615" s="1227"/>
    </row>
    <row r="1616" spans="28:31">
      <c r="AB1616" s="1227"/>
      <c r="AC1616" s="1227"/>
      <c r="AD1616" s="1227"/>
      <c r="AE1616" s="1227"/>
    </row>
    <row r="1617" spans="28:31">
      <c r="AB1617" s="1227"/>
      <c r="AC1617" s="1227"/>
      <c r="AD1617" s="1227"/>
      <c r="AE1617" s="1227"/>
    </row>
    <row r="1618" spans="28:31">
      <c r="AB1618" s="1227"/>
      <c r="AC1618" s="1227"/>
      <c r="AD1618" s="1227"/>
      <c r="AE1618" s="1227"/>
    </row>
    <row r="1619" spans="28:31">
      <c r="AB1619" s="1227"/>
      <c r="AC1619" s="1227"/>
      <c r="AD1619" s="1227"/>
      <c r="AE1619" s="1227"/>
    </row>
    <row r="1620" spans="28:31">
      <c r="AB1620" s="1227"/>
      <c r="AC1620" s="1227"/>
      <c r="AD1620" s="1227"/>
      <c r="AE1620" s="1227"/>
    </row>
    <row r="1621" spans="28:31">
      <c r="AB1621" s="1227"/>
      <c r="AC1621" s="1227"/>
      <c r="AD1621" s="1227"/>
      <c r="AE1621" s="1227"/>
    </row>
    <row r="1622" spans="28:31">
      <c r="AB1622" s="1227"/>
      <c r="AC1622" s="1227"/>
      <c r="AD1622" s="1227"/>
      <c r="AE1622" s="1227"/>
    </row>
    <row r="1623" spans="28:31">
      <c r="AB1623" s="1227"/>
      <c r="AC1623" s="1227"/>
      <c r="AD1623" s="1227"/>
      <c r="AE1623" s="1227"/>
    </row>
    <row r="1624" spans="28:31">
      <c r="AB1624" s="1227"/>
      <c r="AC1624" s="1227"/>
      <c r="AD1624" s="1227"/>
      <c r="AE1624" s="1227"/>
    </row>
    <row r="1625" spans="28:31">
      <c r="AB1625" s="1227"/>
      <c r="AC1625" s="1227"/>
      <c r="AD1625" s="1227"/>
      <c r="AE1625" s="1227"/>
    </row>
    <row r="1626" spans="28:31">
      <c r="AB1626" s="1227"/>
      <c r="AC1626" s="1227"/>
      <c r="AD1626" s="1227"/>
      <c r="AE1626" s="1227"/>
    </row>
    <row r="1627" spans="28:31">
      <c r="AB1627" s="1227"/>
      <c r="AC1627" s="1227"/>
      <c r="AD1627" s="1227"/>
      <c r="AE1627" s="1227"/>
    </row>
    <row r="1628" spans="28:31">
      <c r="AB1628" s="1227"/>
      <c r="AC1628" s="1227"/>
      <c r="AD1628" s="1227"/>
      <c r="AE1628" s="1227"/>
    </row>
    <row r="1629" spans="28:31">
      <c r="AB1629" s="1227"/>
      <c r="AC1629" s="1227"/>
      <c r="AD1629" s="1227"/>
      <c r="AE1629" s="1227"/>
    </row>
    <row r="1630" spans="28:31">
      <c r="AB1630" s="1227"/>
      <c r="AC1630" s="1227"/>
      <c r="AD1630" s="1227"/>
      <c r="AE1630" s="1227"/>
    </row>
    <row r="1631" spans="28:31">
      <c r="AB1631" s="1227"/>
      <c r="AC1631" s="1227"/>
      <c r="AD1631" s="1227"/>
      <c r="AE1631" s="1227"/>
    </row>
    <row r="1632" spans="28:31">
      <c r="AB1632" s="1227"/>
      <c r="AC1632" s="1227"/>
      <c r="AD1632" s="1227"/>
      <c r="AE1632" s="1227"/>
    </row>
    <row r="1633" spans="28:31">
      <c r="AB1633" s="1227"/>
      <c r="AC1633" s="1227"/>
      <c r="AD1633" s="1227"/>
      <c r="AE1633" s="1227"/>
    </row>
    <row r="1634" spans="28:31">
      <c r="AB1634" s="1227"/>
      <c r="AC1634" s="1227"/>
      <c r="AD1634" s="1227"/>
      <c r="AE1634" s="1227"/>
    </row>
    <row r="1635" spans="28:31">
      <c r="AB1635" s="1227"/>
      <c r="AC1635" s="1227"/>
      <c r="AD1635" s="1227"/>
      <c r="AE1635" s="1227"/>
    </row>
    <row r="1636" spans="28:31">
      <c r="AB1636" s="1227"/>
      <c r="AC1636" s="1227"/>
      <c r="AD1636" s="1227"/>
      <c r="AE1636" s="1227"/>
    </row>
    <row r="1637" spans="28:31">
      <c r="AB1637" s="1227"/>
      <c r="AC1637" s="1227"/>
      <c r="AD1637" s="1227"/>
      <c r="AE1637" s="1227"/>
    </row>
    <row r="1638" spans="28:31">
      <c r="AB1638" s="1227"/>
      <c r="AC1638" s="1227"/>
      <c r="AD1638" s="1227"/>
      <c r="AE1638" s="1227"/>
    </row>
    <row r="1639" spans="28:31">
      <c r="AB1639" s="1227"/>
      <c r="AC1639" s="1227"/>
      <c r="AD1639" s="1227"/>
      <c r="AE1639" s="1227"/>
    </row>
    <row r="1640" spans="28:31">
      <c r="AB1640" s="1227"/>
      <c r="AC1640" s="1227"/>
      <c r="AD1640" s="1227"/>
      <c r="AE1640" s="1227"/>
    </row>
    <row r="1641" spans="28:31">
      <c r="AB1641" s="1227"/>
      <c r="AC1641" s="1227"/>
      <c r="AD1641" s="1227"/>
      <c r="AE1641" s="1227"/>
    </row>
    <row r="1642" spans="28:31">
      <c r="AB1642" s="1227"/>
      <c r="AC1642" s="1227"/>
      <c r="AD1642" s="1227"/>
      <c r="AE1642" s="1227"/>
    </row>
    <row r="1643" spans="28:31">
      <c r="AB1643" s="1227"/>
      <c r="AC1643" s="1227"/>
      <c r="AD1643" s="1227"/>
      <c r="AE1643" s="1227"/>
    </row>
    <row r="1644" spans="28:31">
      <c r="AB1644" s="1227"/>
      <c r="AC1644" s="1227"/>
      <c r="AD1644" s="1227"/>
      <c r="AE1644" s="1227"/>
    </row>
    <row r="1645" spans="28:31">
      <c r="AB1645" s="1227"/>
      <c r="AC1645" s="1227"/>
      <c r="AD1645" s="1227"/>
      <c r="AE1645" s="1227"/>
    </row>
    <row r="1646" spans="28:31">
      <c r="AB1646" s="1227"/>
      <c r="AC1646" s="1227"/>
      <c r="AD1646" s="1227"/>
      <c r="AE1646" s="1227"/>
    </row>
    <row r="1647" spans="28:31">
      <c r="AB1647" s="1227"/>
      <c r="AC1647" s="1227"/>
      <c r="AD1647" s="1227"/>
      <c r="AE1647" s="1227"/>
    </row>
    <row r="1648" spans="28:31">
      <c r="AB1648" s="1227"/>
      <c r="AC1648" s="1227"/>
      <c r="AD1648" s="1227"/>
      <c r="AE1648" s="1227"/>
    </row>
    <row r="1649" spans="28:31">
      <c r="AB1649" s="1227"/>
      <c r="AC1649" s="1227"/>
      <c r="AD1649" s="1227"/>
      <c r="AE1649" s="1227"/>
    </row>
    <row r="1650" spans="28:31">
      <c r="AB1650" s="1227"/>
      <c r="AC1650" s="1227"/>
      <c r="AD1650" s="1227"/>
      <c r="AE1650" s="1227"/>
    </row>
    <row r="1651" spans="28:31">
      <c r="AB1651" s="1227"/>
      <c r="AC1651" s="1227"/>
      <c r="AD1651" s="1227"/>
      <c r="AE1651" s="1227"/>
    </row>
    <row r="1652" spans="28:31">
      <c r="AB1652" s="1227"/>
      <c r="AC1652" s="1227"/>
      <c r="AD1652" s="1227"/>
      <c r="AE1652" s="1227"/>
    </row>
    <row r="1653" spans="28:31">
      <c r="AB1653" s="1227"/>
      <c r="AC1653" s="1227"/>
      <c r="AD1653" s="1227"/>
      <c r="AE1653" s="1227"/>
    </row>
    <row r="1654" spans="28:31">
      <c r="AB1654" s="1227"/>
      <c r="AC1654" s="1227"/>
      <c r="AD1654" s="1227"/>
      <c r="AE1654" s="1227"/>
    </row>
    <row r="1655" spans="28:31">
      <c r="AB1655" s="1227"/>
      <c r="AC1655" s="1227"/>
      <c r="AD1655" s="1227"/>
      <c r="AE1655" s="1227"/>
    </row>
    <row r="1656" spans="28:31">
      <c r="AB1656" s="1227"/>
      <c r="AC1656" s="1227"/>
      <c r="AD1656" s="1227"/>
      <c r="AE1656" s="1227"/>
    </row>
    <row r="1657" spans="28:31">
      <c r="AB1657" s="1227"/>
      <c r="AC1657" s="1227"/>
      <c r="AD1657" s="1227"/>
      <c r="AE1657" s="1227"/>
    </row>
    <row r="1658" spans="28:31">
      <c r="AB1658" s="1227"/>
      <c r="AC1658" s="1227"/>
      <c r="AD1658" s="1227"/>
      <c r="AE1658" s="1227"/>
    </row>
    <row r="1659" spans="28:31">
      <c r="AB1659" s="1227"/>
      <c r="AC1659" s="1227"/>
      <c r="AD1659" s="1227"/>
      <c r="AE1659" s="1227"/>
    </row>
    <row r="1660" spans="28:31">
      <c r="AB1660" s="1227"/>
      <c r="AC1660" s="1227"/>
      <c r="AD1660" s="1227"/>
      <c r="AE1660" s="1227"/>
    </row>
    <row r="1661" spans="28:31">
      <c r="AB1661" s="1227"/>
      <c r="AC1661" s="1227"/>
      <c r="AD1661" s="1227"/>
      <c r="AE1661" s="1227"/>
    </row>
    <row r="1662" spans="28:31">
      <c r="AB1662" s="1227"/>
      <c r="AC1662" s="1227"/>
      <c r="AD1662" s="1227"/>
      <c r="AE1662" s="1227"/>
    </row>
    <row r="1663" spans="28:31">
      <c r="AB1663" s="1227"/>
      <c r="AC1663" s="1227"/>
      <c r="AD1663" s="1227"/>
      <c r="AE1663" s="1227"/>
    </row>
    <row r="1664" spans="28:31">
      <c r="AB1664" s="1227"/>
      <c r="AC1664" s="1227"/>
      <c r="AD1664" s="1227"/>
      <c r="AE1664" s="1227"/>
    </row>
    <row r="1665" spans="28:31">
      <c r="AB1665" s="1227"/>
      <c r="AC1665" s="1227"/>
      <c r="AD1665" s="1227"/>
      <c r="AE1665" s="1227"/>
    </row>
    <row r="1666" spans="28:31">
      <c r="AB1666" s="1227"/>
      <c r="AC1666" s="1227"/>
      <c r="AD1666" s="1227"/>
      <c r="AE1666" s="1227"/>
    </row>
    <row r="1667" spans="28:31">
      <c r="AB1667" s="1227"/>
      <c r="AC1667" s="1227"/>
      <c r="AD1667" s="1227"/>
      <c r="AE1667" s="1227"/>
    </row>
    <row r="1668" spans="28:31">
      <c r="AB1668" s="1227"/>
      <c r="AC1668" s="1227"/>
      <c r="AD1668" s="1227"/>
      <c r="AE1668" s="1227"/>
    </row>
    <row r="1669" spans="28:31">
      <c r="AB1669" s="1227"/>
      <c r="AC1669" s="1227"/>
      <c r="AD1669" s="1227"/>
      <c r="AE1669" s="1227"/>
    </row>
    <row r="1670" spans="28:31">
      <c r="AB1670" s="1227"/>
      <c r="AC1670" s="1227"/>
      <c r="AD1670" s="1227"/>
      <c r="AE1670" s="1227"/>
    </row>
    <row r="1671" spans="28:31">
      <c r="AB1671" s="1227"/>
      <c r="AC1671" s="1227"/>
      <c r="AD1671" s="1227"/>
      <c r="AE1671" s="1227"/>
    </row>
    <row r="1672" spans="28:31">
      <c r="AB1672" s="1227"/>
      <c r="AC1672" s="1227"/>
      <c r="AD1672" s="1227"/>
      <c r="AE1672" s="1227"/>
    </row>
    <row r="1673" spans="28:31">
      <c r="AB1673" s="1227"/>
      <c r="AC1673" s="1227"/>
      <c r="AD1673" s="1227"/>
      <c r="AE1673" s="1227"/>
    </row>
    <row r="1674" spans="28:31">
      <c r="AB1674" s="1227"/>
      <c r="AC1674" s="1227"/>
      <c r="AD1674" s="1227"/>
      <c r="AE1674" s="1227"/>
    </row>
    <row r="1675" spans="28:31">
      <c r="AB1675" s="1227"/>
      <c r="AC1675" s="1227"/>
      <c r="AD1675" s="1227"/>
      <c r="AE1675" s="1227"/>
    </row>
    <row r="1676" spans="28:31">
      <c r="AB1676" s="1227"/>
      <c r="AC1676" s="1227"/>
      <c r="AD1676" s="1227"/>
      <c r="AE1676" s="1227"/>
    </row>
    <row r="1677" spans="28:31">
      <c r="AB1677" s="1227"/>
      <c r="AC1677" s="1227"/>
      <c r="AD1677" s="1227"/>
      <c r="AE1677" s="1227"/>
    </row>
    <row r="1678" spans="28:31">
      <c r="AB1678" s="1227"/>
      <c r="AC1678" s="1227"/>
      <c r="AD1678" s="1227"/>
      <c r="AE1678" s="1227"/>
    </row>
    <row r="1679" spans="28:31">
      <c r="AB1679" s="1227"/>
      <c r="AC1679" s="1227"/>
      <c r="AD1679" s="1227"/>
      <c r="AE1679" s="1227"/>
    </row>
    <row r="1680" spans="28:31">
      <c r="AB1680" s="1227"/>
      <c r="AC1680" s="1227"/>
      <c r="AD1680" s="1227"/>
      <c r="AE1680" s="1227"/>
    </row>
    <row r="1681" spans="28:31">
      <c r="AB1681" s="1227"/>
      <c r="AC1681" s="1227"/>
      <c r="AD1681" s="1227"/>
      <c r="AE1681" s="1227"/>
    </row>
    <row r="1682" spans="28:31">
      <c r="AB1682" s="1227"/>
      <c r="AC1682" s="1227"/>
      <c r="AD1682" s="1227"/>
      <c r="AE1682" s="1227"/>
    </row>
    <row r="1683" spans="28:31">
      <c r="AB1683" s="1227"/>
      <c r="AC1683" s="1227"/>
      <c r="AD1683" s="1227"/>
      <c r="AE1683" s="1227"/>
    </row>
    <row r="1684" spans="28:31">
      <c r="AB1684" s="1227"/>
      <c r="AC1684" s="1227"/>
      <c r="AD1684" s="1227"/>
      <c r="AE1684" s="1227"/>
    </row>
    <row r="1685" spans="28:31">
      <c r="AB1685" s="1227"/>
      <c r="AC1685" s="1227"/>
      <c r="AD1685" s="1227"/>
      <c r="AE1685" s="1227"/>
    </row>
    <row r="1686" spans="28:31">
      <c r="AB1686" s="1227"/>
      <c r="AC1686" s="1227"/>
      <c r="AD1686" s="1227"/>
      <c r="AE1686" s="1227"/>
    </row>
    <row r="1687" spans="28:31">
      <c r="AB1687" s="1227"/>
      <c r="AC1687" s="1227"/>
      <c r="AD1687" s="1227"/>
      <c r="AE1687" s="1227"/>
    </row>
    <row r="1688" spans="28:31">
      <c r="AB1688" s="1227"/>
      <c r="AC1688" s="1227"/>
      <c r="AD1688" s="1227"/>
      <c r="AE1688" s="1227"/>
    </row>
    <row r="1689" spans="28:31">
      <c r="AB1689" s="1227"/>
      <c r="AC1689" s="1227"/>
      <c r="AD1689" s="1227"/>
      <c r="AE1689" s="1227"/>
    </row>
    <row r="1690" spans="28:31">
      <c r="AB1690" s="1227"/>
      <c r="AC1690" s="1227"/>
      <c r="AD1690" s="1227"/>
      <c r="AE1690" s="1227"/>
    </row>
    <row r="1691" spans="28:31">
      <c r="AB1691" s="1227"/>
      <c r="AC1691" s="1227"/>
      <c r="AD1691" s="1227"/>
      <c r="AE1691" s="1227"/>
    </row>
    <row r="1692" spans="28:31">
      <c r="AB1692" s="1227"/>
      <c r="AC1692" s="1227"/>
      <c r="AD1692" s="1227"/>
      <c r="AE1692" s="1227"/>
    </row>
    <row r="1693" spans="28:31">
      <c r="AB1693" s="1227"/>
      <c r="AC1693" s="1227"/>
      <c r="AD1693" s="1227"/>
      <c r="AE1693" s="1227"/>
    </row>
    <row r="1694" spans="28:31">
      <c r="AB1694" s="1227"/>
      <c r="AC1694" s="1227"/>
      <c r="AD1694" s="1227"/>
      <c r="AE1694" s="1227"/>
    </row>
    <row r="1695" spans="28:31">
      <c r="AB1695" s="1227"/>
      <c r="AC1695" s="1227"/>
      <c r="AD1695" s="1227"/>
      <c r="AE1695" s="1227"/>
    </row>
    <row r="1696" spans="28:31">
      <c r="AB1696" s="1227"/>
      <c r="AC1696" s="1227"/>
      <c r="AD1696" s="1227"/>
      <c r="AE1696" s="1227"/>
    </row>
    <row r="1697" spans="28:31">
      <c r="AB1697" s="1227"/>
      <c r="AC1697" s="1227"/>
      <c r="AD1697" s="1227"/>
      <c r="AE1697" s="1227"/>
    </row>
    <row r="1698" spans="28:31">
      <c r="AB1698" s="1227"/>
      <c r="AC1698" s="1227"/>
      <c r="AD1698" s="1227"/>
      <c r="AE1698" s="1227"/>
    </row>
    <row r="1699" spans="28:31">
      <c r="AB1699" s="1227"/>
      <c r="AC1699" s="1227"/>
      <c r="AD1699" s="1227"/>
      <c r="AE1699" s="1227"/>
    </row>
    <row r="1700" spans="28:31">
      <c r="AB1700" s="1227"/>
      <c r="AC1700" s="1227"/>
      <c r="AD1700" s="1227"/>
      <c r="AE1700" s="1227"/>
    </row>
    <row r="1701" spans="28:31">
      <c r="AB1701" s="1227"/>
      <c r="AC1701" s="1227"/>
      <c r="AD1701" s="1227"/>
      <c r="AE1701" s="1227"/>
    </row>
    <row r="1702" spans="28:31">
      <c r="AB1702" s="1227"/>
      <c r="AC1702" s="1227"/>
      <c r="AD1702" s="1227"/>
      <c r="AE1702" s="1227"/>
    </row>
    <row r="1703" spans="28:31">
      <c r="AB1703" s="1227"/>
      <c r="AC1703" s="1227"/>
      <c r="AD1703" s="1227"/>
      <c r="AE1703" s="1227"/>
    </row>
    <row r="1704" spans="28:31">
      <c r="AB1704" s="1227"/>
      <c r="AC1704" s="1227"/>
      <c r="AD1704" s="1227"/>
      <c r="AE1704" s="1227"/>
    </row>
    <row r="1705" spans="28:31">
      <c r="AB1705" s="1227"/>
      <c r="AC1705" s="1227"/>
      <c r="AD1705" s="1227"/>
      <c r="AE1705" s="1227"/>
    </row>
    <row r="1706" spans="28:31">
      <c r="AB1706" s="1227"/>
      <c r="AC1706" s="1227"/>
      <c r="AD1706" s="1227"/>
      <c r="AE1706" s="1227"/>
    </row>
    <row r="1707" spans="28:31">
      <c r="AB1707" s="1227"/>
      <c r="AC1707" s="1227"/>
      <c r="AD1707" s="1227"/>
      <c r="AE1707" s="1227"/>
    </row>
    <row r="1708" spans="28:31">
      <c r="AB1708" s="1227"/>
      <c r="AC1708" s="1227"/>
      <c r="AD1708" s="1227"/>
      <c r="AE1708" s="1227"/>
    </row>
    <row r="1709" spans="28:31">
      <c r="AB1709" s="1227"/>
      <c r="AC1709" s="1227"/>
      <c r="AD1709" s="1227"/>
      <c r="AE1709" s="1227"/>
    </row>
    <row r="1710" spans="28:31">
      <c r="AB1710" s="1227"/>
      <c r="AC1710" s="1227"/>
      <c r="AD1710" s="1227"/>
      <c r="AE1710" s="1227"/>
    </row>
    <row r="1711" spans="28:31">
      <c r="AB1711" s="1227"/>
      <c r="AC1711" s="1227"/>
      <c r="AD1711" s="1227"/>
      <c r="AE1711" s="1227"/>
    </row>
    <row r="1712" spans="28:31">
      <c r="AB1712" s="1227"/>
      <c r="AC1712" s="1227"/>
      <c r="AD1712" s="1227"/>
      <c r="AE1712" s="1227"/>
    </row>
    <row r="1713" spans="28:31">
      <c r="AB1713" s="1227"/>
      <c r="AC1713" s="1227"/>
      <c r="AD1713" s="1227"/>
      <c r="AE1713" s="1227"/>
    </row>
    <row r="1714" spans="28:31">
      <c r="AB1714" s="1227"/>
      <c r="AC1714" s="1227"/>
      <c r="AD1714" s="1227"/>
      <c r="AE1714" s="1227"/>
    </row>
    <row r="1715" spans="28:31">
      <c r="AB1715" s="1227"/>
      <c r="AC1715" s="1227"/>
      <c r="AD1715" s="1227"/>
      <c r="AE1715" s="1227"/>
    </row>
    <row r="1716" spans="28:31">
      <c r="AB1716" s="1227"/>
      <c r="AC1716" s="1227"/>
      <c r="AD1716" s="1227"/>
      <c r="AE1716" s="1227"/>
    </row>
    <row r="1717" spans="28:31">
      <c r="AB1717" s="1227"/>
      <c r="AC1717" s="1227"/>
      <c r="AD1717" s="1227"/>
      <c r="AE1717" s="1227"/>
    </row>
    <row r="1718" spans="28:31">
      <c r="AB1718" s="1227"/>
      <c r="AC1718" s="1227"/>
      <c r="AD1718" s="1227"/>
      <c r="AE1718" s="1227"/>
    </row>
    <row r="1719" spans="28:31">
      <c r="AB1719" s="1227"/>
      <c r="AC1719" s="1227"/>
      <c r="AD1719" s="1227"/>
      <c r="AE1719" s="1227"/>
    </row>
    <row r="1720" spans="28:31">
      <c r="AB1720" s="1227"/>
      <c r="AC1720" s="1227"/>
      <c r="AD1720" s="1227"/>
      <c r="AE1720" s="1227"/>
    </row>
    <row r="1721" spans="28:31">
      <c r="AB1721" s="1227"/>
      <c r="AC1721" s="1227"/>
      <c r="AD1721" s="1227"/>
      <c r="AE1721" s="1227"/>
    </row>
    <row r="1722" spans="28:31">
      <c r="AB1722" s="1227"/>
      <c r="AC1722" s="1227"/>
      <c r="AD1722" s="1227"/>
      <c r="AE1722" s="1227"/>
    </row>
    <row r="1723" spans="28:31">
      <c r="AB1723" s="1227"/>
      <c r="AC1723" s="1227"/>
      <c r="AD1723" s="1227"/>
      <c r="AE1723" s="1227"/>
    </row>
    <row r="1724" spans="28:31">
      <c r="AB1724" s="1227"/>
      <c r="AC1724" s="1227"/>
      <c r="AD1724" s="1227"/>
      <c r="AE1724" s="1227"/>
    </row>
    <row r="1725" spans="28:31">
      <c r="AB1725" s="1227"/>
      <c r="AC1725" s="1227"/>
      <c r="AD1725" s="1227"/>
      <c r="AE1725" s="1227"/>
    </row>
    <row r="1726" spans="28:31">
      <c r="AB1726" s="1227"/>
      <c r="AC1726" s="1227"/>
      <c r="AD1726" s="1227"/>
      <c r="AE1726" s="1227"/>
    </row>
    <row r="1727" spans="28:31">
      <c r="AB1727" s="1227"/>
      <c r="AC1727" s="1227"/>
      <c r="AD1727" s="1227"/>
      <c r="AE1727" s="1227"/>
    </row>
    <row r="1728" spans="28:31">
      <c r="AB1728" s="1227"/>
      <c r="AC1728" s="1227"/>
      <c r="AD1728" s="1227"/>
      <c r="AE1728" s="1227"/>
    </row>
    <row r="1729" spans="28:31">
      <c r="AB1729" s="1227"/>
      <c r="AC1729" s="1227"/>
      <c r="AD1729" s="1227"/>
      <c r="AE1729" s="1227"/>
    </row>
    <row r="1730" spans="28:31">
      <c r="AB1730" s="1227"/>
      <c r="AC1730" s="1227"/>
      <c r="AD1730" s="1227"/>
      <c r="AE1730" s="1227"/>
    </row>
    <row r="1731" spans="28:31">
      <c r="AB1731" s="1227"/>
      <c r="AC1731" s="1227"/>
      <c r="AD1731" s="1227"/>
      <c r="AE1731" s="1227"/>
    </row>
    <row r="1732" spans="28:31">
      <c r="AB1732" s="1227"/>
      <c r="AC1732" s="1227"/>
      <c r="AD1732" s="1227"/>
      <c r="AE1732" s="1227"/>
    </row>
    <row r="1733" spans="28:31">
      <c r="AB1733" s="1227"/>
      <c r="AC1733" s="1227"/>
      <c r="AD1733" s="1227"/>
      <c r="AE1733" s="1227"/>
    </row>
    <row r="1734" spans="28:31">
      <c r="AB1734" s="1227"/>
      <c r="AC1734" s="1227"/>
      <c r="AD1734" s="1227"/>
      <c r="AE1734" s="1227"/>
    </row>
    <row r="1735" spans="28:31">
      <c r="AB1735" s="1227"/>
      <c r="AC1735" s="1227"/>
      <c r="AD1735" s="1227"/>
      <c r="AE1735" s="1227"/>
    </row>
    <row r="1736" spans="28:31">
      <c r="AB1736" s="1227"/>
      <c r="AC1736" s="1227"/>
      <c r="AD1736" s="1227"/>
      <c r="AE1736" s="1227"/>
    </row>
    <row r="1737" spans="28:31">
      <c r="AB1737" s="1227"/>
      <c r="AC1737" s="1227"/>
      <c r="AD1737" s="1227"/>
      <c r="AE1737" s="1227"/>
    </row>
    <row r="1738" spans="28:31">
      <c r="AB1738" s="1227"/>
      <c r="AC1738" s="1227"/>
      <c r="AD1738" s="1227"/>
      <c r="AE1738" s="1227"/>
    </row>
    <row r="1739" spans="28:31">
      <c r="AB1739" s="1227"/>
      <c r="AC1739" s="1227"/>
      <c r="AD1739" s="1227"/>
      <c r="AE1739" s="1227"/>
    </row>
    <row r="1740" spans="28:31">
      <c r="AB1740" s="1227"/>
      <c r="AC1740" s="1227"/>
      <c r="AD1740" s="1227"/>
      <c r="AE1740" s="1227"/>
    </row>
    <row r="1741" spans="28:31">
      <c r="AB1741" s="1227"/>
      <c r="AC1741" s="1227"/>
      <c r="AD1741" s="1227"/>
      <c r="AE1741" s="1227"/>
    </row>
    <row r="1742" spans="28:31">
      <c r="AB1742" s="1227"/>
      <c r="AC1742" s="1227"/>
      <c r="AD1742" s="1227"/>
      <c r="AE1742" s="1227"/>
    </row>
    <row r="1743" spans="28:31">
      <c r="AB1743" s="1227"/>
      <c r="AC1743" s="1227"/>
      <c r="AD1743" s="1227"/>
      <c r="AE1743" s="1227"/>
    </row>
    <row r="1744" spans="28:31">
      <c r="AB1744" s="1227"/>
      <c r="AC1744" s="1227"/>
      <c r="AD1744" s="1227"/>
      <c r="AE1744" s="1227"/>
    </row>
    <row r="1745" spans="28:31">
      <c r="AB1745" s="1227"/>
      <c r="AC1745" s="1227"/>
      <c r="AD1745" s="1227"/>
      <c r="AE1745" s="1227"/>
    </row>
    <row r="1746" spans="28:31">
      <c r="AB1746" s="1227"/>
      <c r="AC1746" s="1227"/>
      <c r="AD1746" s="1227"/>
      <c r="AE1746" s="1227"/>
    </row>
    <row r="1747" spans="28:31">
      <c r="AB1747" s="1227"/>
      <c r="AC1747" s="1227"/>
      <c r="AD1747" s="1227"/>
      <c r="AE1747" s="1227"/>
    </row>
    <row r="1748" spans="28:31">
      <c r="AB1748" s="1227"/>
      <c r="AC1748" s="1227"/>
      <c r="AD1748" s="1227"/>
      <c r="AE1748" s="1227"/>
    </row>
    <row r="1749" spans="28:31">
      <c r="AB1749" s="1227"/>
      <c r="AC1749" s="1227"/>
      <c r="AD1749" s="1227"/>
      <c r="AE1749" s="1227"/>
    </row>
    <row r="1750" spans="28:31">
      <c r="AB1750" s="1227"/>
      <c r="AC1750" s="1227"/>
      <c r="AD1750" s="1227"/>
      <c r="AE1750" s="1227"/>
    </row>
    <row r="1751" spans="28:31">
      <c r="AB1751" s="1227"/>
      <c r="AC1751" s="1227"/>
      <c r="AD1751" s="1227"/>
      <c r="AE1751" s="1227"/>
    </row>
    <row r="1752" spans="28:31">
      <c r="AB1752" s="1227"/>
      <c r="AC1752" s="1227"/>
      <c r="AD1752" s="1227"/>
      <c r="AE1752" s="1227"/>
    </row>
    <row r="1753" spans="28:31">
      <c r="AB1753" s="1227"/>
      <c r="AC1753" s="1227"/>
      <c r="AD1753" s="1227"/>
      <c r="AE1753" s="1227"/>
    </row>
    <row r="1754" spans="28:31">
      <c r="AB1754" s="1227"/>
      <c r="AC1754" s="1227"/>
      <c r="AD1754" s="1227"/>
      <c r="AE1754" s="1227"/>
    </row>
    <row r="1755" spans="28:31">
      <c r="AB1755" s="1227"/>
      <c r="AC1755" s="1227"/>
      <c r="AD1755" s="1227"/>
      <c r="AE1755" s="1227"/>
    </row>
    <row r="1756" spans="28:31">
      <c r="AB1756" s="1227"/>
      <c r="AC1756" s="1227"/>
      <c r="AD1756" s="1227"/>
      <c r="AE1756" s="1227"/>
    </row>
    <row r="1757" spans="28:31">
      <c r="AB1757" s="1227"/>
      <c r="AC1757" s="1227"/>
      <c r="AD1757" s="1227"/>
      <c r="AE1757" s="1227"/>
    </row>
    <row r="1758" spans="28:31">
      <c r="AB1758" s="1227"/>
      <c r="AC1758" s="1227"/>
      <c r="AD1758" s="1227"/>
      <c r="AE1758" s="1227"/>
    </row>
    <row r="1759" spans="28:31">
      <c r="AB1759" s="1227"/>
      <c r="AC1759" s="1227"/>
      <c r="AD1759" s="1227"/>
      <c r="AE1759" s="1227"/>
    </row>
    <row r="1760" spans="28:31">
      <c r="AB1760" s="1227"/>
      <c r="AC1760" s="1227"/>
      <c r="AD1760" s="1227"/>
      <c r="AE1760" s="1227"/>
    </row>
    <row r="1761" spans="28:31">
      <c r="AB1761" s="1227"/>
      <c r="AC1761" s="1227"/>
      <c r="AD1761" s="1227"/>
      <c r="AE1761" s="1227"/>
    </row>
    <row r="1762" spans="28:31">
      <c r="AB1762" s="1227"/>
      <c r="AC1762" s="1227"/>
      <c r="AD1762" s="1227"/>
      <c r="AE1762" s="1227"/>
    </row>
    <row r="1763" spans="28:31">
      <c r="AB1763" s="1227"/>
      <c r="AC1763" s="1227"/>
      <c r="AD1763" s="1227"/>
      <c r="AE1763" s="1227"/>
    </row>
    <row r="1764" spans="28:31">
      <c r="AB1764" s="1227"/>
      <c r="AC1764" s="1227"/>
      <c r="AD1764" s="1227"/>
      <c r="AE1764" s="1227"/>
    </row>
    <row r="1765" spans="28:31">
      <c r="AB1765" s="1227"/>
      <c r="AC1765" s="1227"/>
      <c r="AD1765" s="1227"/>
      <c r="AE1765" s="1227"/>
    </row>
    <row r="1766" spans="28:31">
      <c r="AB1766" s="1227"/>
      <c r="AC1766" s="1227"/>
      <c r="AD1766" s="1227"/>
      <c r="AE1766" s="1227"/>
    </row>
    <row r="1767" spans="28:31">
      <c r="AB1767" s="1227"/>
      <c r="AC1767" s="1227"/>
      <c r="AD1767" s="1227"/>
      <c r="AE1767" s="1227"/>
    </row>
    <row r="1768" spans="28:31">
      <c r="AB1768" s="1227"/>
      <c r="AC1768" s="1227"/>
      <c r="AD1768" s="1227"/>
      <c r="AE1768" s="1227"/>
    </row>
    <row r="1769" spans="28:31">
      <c r="AB1769" s="1227"/>
      <c r="AC1769" s="1227"/>
      <c r="AD1769" s="1227"/>
      <c r="AE1769" s="1227"/>
    </row>
    <row r="1770" spans="28:31">
      <c r="AB1770" s="1227"/>
      <c r="AC1770" s="1227"/>
      <c r="AD1770" s="1227"/>
      <c r="AE1770" s="1227"/>
    </row>
    <row r="1771" spans="28:31">
      <c r="AB1771" s="1227"/>
      <c r="AC1771" s="1227"/>
      <c r="AD1771" s="1227"/>
      <c r="AE1771" s="1227"/>
    </row>
    <row r="1772" spans="28:31">
      <c r="AB1772" s="1227"/>
      <c r="AC1772" s="1227"/>
      <c r="AD1772" s="1227"/>
      <c r="AE1772" s="1227"/>
    </row>
    <row r="1773" spans="28:31">
      <c r="AB1773" s="1227"/>
      <c r="AC1773" s="1227"/>
      <c r="AD1773" s="1227"/>
      <c r="AE1773" s="1227"/>
    </row>
    <row r="1774" spans="28:31">
      <c r="AB1774" s="1227"/>
      <c r="AC1774" s="1227"/>
      <c r="AD1774" s="1227"/>
      <c r="AE1774" s="1227"/>
    </row>
    <row r="1775" spans="28:31">
      <c r="AB1775" s="1227"/>
      <c r="AC1775" s="1227"/>
      <c r="AD1775" s="1227"/>
      <c r="AE1775" s="1227"/>
    </row>
    <row r="1776" spans="28:31">
      <c r="AB1776" s="1227"/>
      <c r="AC1776" s="1227"/>
      <c r="AD1776" s="1227"/>
      <c r="AE1776" s="1227"/>
    </row>
    <row r="1777" spans="28:31">
      <c r="AB1777" s="1227"/>
      <c r="AC1777" s="1227"/>
      <c r="AD1777" s="1227"/>
      <c r="AE1777" s="1227"/>
    </row>
    <row r="1778" spans="28:31">
      <c r="AB1778" s="1227"/>
      <c r="AC1778" s="1227"/>
      <c r="AD1778" s="1227"/>
      <c r="AE1778" s="1227"/>
    </row>
    <row r="1779" spans="28:31">
      <c r="AB1779" s="1227"/>
      <c r="AC1779" s="1227"/>
      <c r="AD1779" s="1227"/>
      <c r="AE1779" s="1227"/>
    </row>
    <row r="1780" spans="28:31">
      <c r="AB1780" s="1227"/>
      <c r="AC1780" s="1227"/>
      <c r="AD1780" s="1227"/>
      <c r="AE1780" s="1227"/>
    </row>
    <row r="1781" spans="28:31">
      <c r="AB1781" s="1227"/>
      <c r="AC1781" s="1227"/>
      <c r="AD1781" s="1227"/>
      <c r="AE1781" s="1227"/>
    </row>
    <row r="1782" spans="28:31">
      <c r="AB1782" s="1227"/>
      <c r="AC1782" s="1227"/>
      <c r="AD1782" s="1227"/>
      <c r="AE1782" s="1227"/>
    </row>
    <row r="1783" spans="28:31">
      <c r="AB1783" s="1227"/>
      <c r="AC1783" s="1227"/>
      <c r="AD1783" s="1227"/>
      <c r="AE1783" s="1227"/>
    </row>
    <row r="1784" spans="28:31">
      <c r="AB1784" s="1227"/>
      <c r="AC1784" s="1227"/>
      <c r="AD1784" s="1227"/>
      <c r="AE1784" s="1227"/>
    </row>
    <row r="1785" spans="28:31">
      <c r="AB1785" s="1227"/>
      <c r="AC1785" s="1227"/>
      <c r="AD1785" s="1227"/>
      <c r="AE1785" s="1227"/>
    </row>
    <row r="1786" spans="28:31">
      <c r="AB1786" s="1227"/>
      <c r="AC1786" s="1227"/>
      <c r="AD1786" s="1227"/>
      <c r="AE1786" s="1227"/>
    </row>
    <row r="1787" spans="28:31">
      <c r="AB1787" s="1227"/>
      <c r="AC1787" s="1227"/>
      <c r="AD1787" s="1227"/>
      <c r="AE1787" s="1227"/>
    </row>
    <row r="1788" spans="28:31">
      <c r="AB1788" s="1227"/>
      <c r="AC1788" s="1227"/>
      <c r="AD1788" s="1227"/>
      <c r="AE1788" s="1227"/>
    </row>
    <row r="1789" spans="28:31">
      <c r="AB1789" s="1227"/>
      <c r="AC1789" s="1227"/>
      <c r="AD1789" s="1227"/>
      <c r="AE1789" s="1227"/>
    </row>
    <row r="1790" spans="28:31">
      <c r="AB1790" s="1227"/>
      <c r="AC1790" s="1227"/>
      <c r="AD1790" s="1227"/>
      <c r="AE1790" s="1227"/>
    </row>
    <row r="1791" spans="28:31">
      <c r="AB1791" s="1227"/>
      <c r="AC1791" s="1227"/>
      <c r="AD1791" s="1227"/>
      <c r="AE1791" s="1227"/>
    </row>
    <row r="1792" spans="28:31">
      <c r="AB1792" s="1227"/>
      <c r="AC1792" s="1227"/>
      <c r="AD1792" s="1227"/>
      <c r="AE1792" s="1227"/>
    </row>
    <row r="1793" spans="28:31">
      <c r="AB1793" s="1227"/>
      <c r="AC1793" s="1227"/>
      <c r="AD1793" s="1227"/>
      <c r="AE1793" s="1227"/>
    </row>
    <row r="1794" spans="28:31">
      <c r="AB1794" s="1227"/>
      <c r="AC1794" s="1227"/>
      <c r="AD1794" s="1227"/>
      <c r="AE1794" s="1227"/>
    </row>
    <row r="1795" spans="28:31">
      <c r="AB1795" s="1227"/>
      <c r="AC1795" s="1227"/>
      <c r="AD1795" s="1227"/>
      <c r="AE1795" s="1227"/>
    </row>
    <row r="1796" spans="28:31">
      <c r="AB1796" s="1227"/>
      <c r="AC1796" s="1227"/>
      <c r="AD1796" s="1227"/>
      <c r="AE1796" s="1227"/>
    </row>
    <row r="1797" spans="28:31">
      <c r="AB1797" s="1227"/>
      <c r="AC1797" s="1227"/>
      <c r="AD1797" s="1227"/>
      <c r="AE1797" s="1227"/>
    </row>
    <row r="1798" spans="28:31">
      <c r="AB1798" s="1227"/>
      <c r="AC1798" s="1227"/>
      <c r="AD1798" s="1227"/>
      <c r="AE1798" s="1227"/>
    </row>
    <row r="1799" spans="28:31">
      <c r="AB1799" s="1227"/>
      <c r="AC1799" s="1227"/>
      <c r="AD1799" s="1227"/>
      <c r="AE1799" s="1227"/>
    </row>
    <row r="1800" spans="28:31">
      <c r="AB1800" s="1227"/>
      <c r="AC1800" s="1227"/>
      <c r="AD1800" s="1227"/>
      <c r="AE1800" s="1227"/>
    </row>
    <row r="1801" spans="28:31">
      <c r="AB1801" s="1227"/>
      <c r="AC1801" s="1227"/>
      <c r="AD1801" s="1227"/>
      <c r="AE1801" s="1227"/>
    </row>
    <row r="1802" spans="28:31">
      <c r="AB1802" s="1227"/>
      <c r="AC1802" s="1227"/>
      <c r="AD1802" s="1227"/>
      <c r="AE1802" s="1227"/>
    </row>
    <row r="1803" spans="28:31">
      <c r="AB1803" s="1227"/>
      <c r="AC1803" s="1227"/>
      <c r="AD1803" s="1227"/>
      <c r="AE1803" s="1227"/>
    </row>
    <row r="1804" spans="28:31">
      <c r="AB1804" s="1227"/>
      <c r="AC1804" s="1227"/>
      <c r="AD1804" s="1227"/>
      <c r="AE1804" s="1227"/>
    </row>
    <row r="1805" spans="28:31">
      <c r="AB1805" s="1227"/>
      <c r="AC1805" s="1227"/>
      <c r="AD1805" s="1227"/>
      <c r="AE1805" s="1227"/>
    </row>
    <row r="1806" spans="28:31">
      <c r="AB1806" s="1227"/>
      <c r="AC1806" s="1227"/>
      <c r="AD1806" s="1227"/>
      <c r="AE1806" s="1227"/>
    </row>
    <row r="1807" spans="28:31">
      <c r="AB1807" s="1227"/>
      <c r="AC1807" s="1227"/>
      <c r="AD1807" s="1227"/>
      <c r="AE1807" s="1227"/>
    </row>
    <row r="1808" spans="28:31">
      <c r="AB1808" s="1227"/>
      <c r="AC1808" s="1227"/>
      <c r="AD1808" s="1227"/>
      <c r="AE1808" s="1227"/>
    </row>
    <row r="1809" spans="28:31">
      <c r="AB1809" s="1227"/>
      <c r="AC1809" s="1227"/>
      <c r="AD1809" s="1227"/>
      <c r="AE1809" s="1227"/>
    </row>
    <row r="1810" spans="28:31">
      <c r="AB1810" s="1227"/>
      <c r="AC1810" s="1227"/>
      <c r="AD1810" s="1227"/>
      <c r="AE1810" s="1227"/>
    </row>
    <row r="1811" spans="28:31">
      <c r="AB1811" s="1227"/>
      <c r="AC1811" s="1227"/>
      <c r="AD1811" s="1227"/>
      <c r="AE1811" s="1227"/>
    </row>
    <row r="1812" spans="28:31">
      <c r="AB1812" s="1227"/>
      <c r="AC1812" s="1227"/>
      <c r="AD1812" s="1227"/>
      <c r="AE1812" s="1227"/>
    </row>
    <row r="1813" spans="28:31">
      <c r="AB1813" s="1227"/>
      <c r="AC1813" s="1227"/>
      <c r="AD1813" s="1227"/>
      <c r="AE1813" s="1227"/>
    </row>
    <row r="1814" spans="28:31">
      <c r="AB1814" s="1227"/>
      <c r="AC1814" s="1227"/>
      <c r="AD1814" s="1227"/>
      <c r="AE1814" s="1227"/>
    </row>
    <row r="1815" spans="28:31">
      <c r="AB1815" s="1227"/>
      <c r="AC1815" s="1227"/>
      <c r="AD1815" s="1227"/>
      <c r="AE1815" s="1227"/>
    </row>
    <row r="1816" spans="28:31">
      <c r="AB1816" s="1227"/>
      <c r="AC1816" s="1227"/>
      <c r="AD1816" s="1227"/>
      <c r="AE1816" s="1227"/>
    </row>
    <row r="1817" spans="28:31">
      <c r="AB1817" s="1227"/>
      <c r="AC1817" s="1227"/>
      <c r="AD1817" s="1227"/>
      <c r="AE1817" s="1227"/>
    </row>
    <row r="1818" spans="28:31">
      <c r="AB1818" s="1227"/>
      <c r="AC1818" s="1227"/>
      <c r="AD1818" s="1227"/>
      <c r="AE1818" s="1227"/>
    </row>
    <row r="1819" spans="28:31">
      <c r="AB1819" s="1227"/>
      <c r="AC1819" s="1227"/>
      <c r="AD1819" s="1227"/>
      <c r="AE1819" s="1227"/>
    </row>
    <row r="1820" spans="28:31">
      <c r="AB1820" s="1227"/>
      <c r="AC1820" s="1227"/>
      <c r="AD1820" s="1227"/>
      <c r="AE1820" s="1227"/>
    </row>
    <row r="1821" spans="28:31">
      <c r="AB1821" s="1227"/>
      <c r="AC1821" s="1227"/>
      <c r="AD1821" s="1227"/>
      <c r="AE1821" s="1227"/>
    </row>
    <row r="1822" spans="28:31">
      <c r="AB1822" s="1227"/>
      <c r="AC1822" s="1227"/>
      <c r="AD1822" s="1227"/>
      <c r="AE1822" s="1227"/>
    </row>
    <row r="1823" spans="28:31">
      <c r="AB1823" s="1227"/>
      <c r="AC1823" s="1227"/>
      <c r="AD1823" s="1227"/>
      <c r="AE1823" s="1227"/>
    </row>
    <row r="1824" spans="28:31">
      <c r="AB1824" s="1227"/>
      <c r="AC1824" s="1227"/>
      <c r="AD1824" s="1227"/>
      <c r="AE1824" s="1227"/>
    </row>
    <row r="1825" spans="28:31">
      <c r="AB1825" s="1227"/>
      <c r="AC1825" s="1227"/>
      <c r="AD1825" s="1227"/>
      <c r="AE1825" s="1227"/>
    </row>
    <row r="1826" spans="28:31">
      <c r="AB1826" s="1227"/>
      <c r="AC1826" s="1227"/>
      <c r="AD1826" s="1227"/>
      <c r="AE1826" s="1227"/>
    </row>
    <row r="1827" spans="28:31">
      <c r="AB1827" s="1227"/>
      <c r="AC1827" s="1227"/>
      <c r="AD1827" s="1227"/>
      <c r="AE1827" s="1227"/>
    </row>
    <row r="1828" spans="28:31">
      <c r="AB1828" s="1227"/>
      <c r="AC1828" s="1227"/>
      <c r="AD1828" s="1227"/>
      <c r="AE1828" s="1227"/>
    </row>
    <row r="1829" spans="28:31">
      <c r="AB1829" s="1227"/>
      <c r="AC1829" s="1227"/>
      <c r="AD1829" s="1227"/>
      <c r="AE1829" s="1227"/>
    </row>
    <row r="1830" spans="28:31">
      <c r="AB1830" s="1227"/>
      <c r="AC1830" s="1227"/>
      <c r="AD1830" s="1227"/>
      <c r="AE1830" s="1227"/>
    </row>
    <row r="1831" spans="28:31">
      <c r="AB1831" s="1227"/>
      <c r="AC1831" s="1227"/>
      <c r="AD1831" s="1227"/>
      <c r="AE1831" s="1227"/>
    </row>
    <row r="1832" spans="28:31">
      <c r="AB1832" s="1227"/>
      <c r="AC1832" s="1227"/>
      <c r="AD1832" s="1227"/>
      <c r="AE1832" s="1227"/>
    </row>
    <row r="1833" spans="28:31">
      <c r="AB1833" s="1227"/>
      <c r="AC1833" s="1227"/>
      <c r="AD1833" s="1227"/>
      <c r="AE1833" s="1227"/>
    </row>
    <row r="1834" spans="28:31">
      <c r="AB1834" s="1227"/>
      <c r="AC1834" s="1227"/>
      <c r="AD1834" s="1227"/>
      <c r="AE1834" s="1227"/>
    </row>
    <row r="1835" spans="28:31">
      <c r="AB1835" s="1227"/>
      <c r="AC1835" s="1227"/>
      <c r="AD1835" s="1227"/>
      <c r="AE1835" s="1227"/>
    </row>
    <row r="1836" spans="28:31">
      <c r="AB1836" s="1227"/>
      <c r="AC1836" s="1227"/>
      <c r="AD1836" s="1227"/>
      <c r="AE1836" s="1227"/>
    </row>
    <row r="1837" spans="28:31">
      <c r="AB1837" s="1227"/>
      <c r="AC1837" s="1227"/>
      <c r="AD1837" s="1227"/>
      <c r="AE1837" s="1227"/>
    </row>
    <row r="1838" spans="28:31">
      <c r="AB1838" s="1227"/>
      <c r="AC1838" s="1227"/>
      <c r="AD1838" s="1227"/>
      <c r="AE1838" s="1227"/>
    </row>
    <row r="1839" spans="28:31">
      <c r="AB1839" s="1227"/>
      <c r="AC1839" s="1227"/>
      <c r="AD1839" s="1227"/>
      <c r="AE1839" s="1227"/>
    </row>
    <row r="1840" spans="28:31">
      <c r="AB1840" s="1227"/>
      <c r="AC1840" s="1227"/>
      <c r="AD1840" s="1227"/>
      <c r="AE1840" s="1227"/>
    </row>
    <row r="1841" spans="28:31">
      <c r="AB1841" s="1227"/>
      <c r="AC1841" s="1227"/>
      <c r="AD1841" s="1227"/>
      <c r="AE1841" s="1227"/>
    </row>
    <row r="1842" spans="28:31">
      <c r="AB1842" s="1227"/>
      <c r="AC1842" s="1227"/>
      <c r="AD1842" s="1227"/>
      <c r="AE1842" s="1227"/>
    </row>
    <row r="1843" spans="28:31">
      <c r="AB1843" s="1227"/>
      <c r="AC1843" s="1227"/>
      <c r="AD1843" s="1227"/>
      <c r="AE1843" s="1227"/>
    </row>
    <row r="1844" spans="28:31">
      <c r="AB1844" s="1227"/>
      <c r="AC1844" s="1227"/>
      <c r="AD1844" s="1227"/>
      <c r="AE1844" s="1227"/>
    </row>
    <row r="1845" spans="28:31">
      <c r="AB1845" s="1227"/>
      <c r="AC1845" s="1227"/>
      <c r="AD1845" s="1227"/>
      <c r="AE1845" s="1227"/>
    </row>
    <row r="1846" spans="28:31">
      <c r="AB1846" s="1227"/>
      <c r="AC1846" s="1227"/>
      <c r="AD1846" s="1227"/>
      <c r="AE1846" s="1227"/>
    </row>
    <row r="1847" spans="28:31">
      <c r="AB1847" s="1227"/>
      <c r="AC1847" s="1227"/>
      <c r="AD1847" s="1227"/>
      <c r="AE1847" s="1227"/>
    </row>
    <row r="1848" spans="28:31">
      <c r="AB1848" s="1227"/>
      <c r="AC1848" s="1227"/>
      <c r="AD1848" s="1227"/>
      <c r="AE1848" s="1227"/>
    </row>
    <row r="1849" spans="28:31">
      <c r="AB1849" s="1227"/>
      <c r="AC1849" s="1227"/>
      <c r="AD1849" s="1227"/>
      <c r="AE1849" s="1227"/>
    </row>
    <row r="1850" spans="28:31">
      <c r="AB1850" s="1227"/>
      <c r="AC1850" s="1227"/>
      <c r="AD1850" s="1227"/>
      <c r="AE1850" s="1227"/>
    </row>
    <row r="1851" spans="28:31">
      <c r="AB1851" s="1227"/>
      <c r="AC1851" s="1227"/>
      <c r="AD1851" s="1227"/>
      <c r="AE1851" s="1227"/>
    </row>
    <row r="1852" spans="28:31">
      <c r="AB1852" s="1227"/>
      <c r="AC1852" s="1227"/>
      <c r="AD1852" s="1227"/>
      <c r="AE1852" s="1227"/>
    </row>
    <row r="1853" spans="28:31">
      <c r="AB1853" s="1227"/>
      <c r="AC1853" s="1227"/>
      <c r="AD1853" s="1227"/>
      <c r="AE1853" s="1227"/>
    </row>
    <row r="1854" spans="28:31">
      <c r="AB1854" s="1227"/>
      <c r="AC1854" s="1227"/>
      <c r="AD1854" s="1227"/>
      <c r="AE1854" s="1227"/>
    </row>
    <row r="1855" spans="28:31">
      <c r="AB1855" s="1227"/>
      <c r="AC1855" s="1227"/>
      <c r="AD1855" s="1227"/>
      <c r="AE1855" s="1227"/>
    </row>
    <row r="1856" spans="28:31">
      <c r="AB1856" s="1227"/>
      <c r="AC1856" s="1227"/>
      <c r="AD1856" s="1227"/>
      <c r="AE1856" s="1227"/>
    </row>
    <row r="1857" spans="28:31">
      <c r="AB1857" s="1227"/>
      <c r="AC1857" s="1227"/>
      <c r="AD1857" s="1227"/>
      <c r="AE1857" s="1227"/>
    </row>
    <row r="1858" spans="28:31">
      <c r="AB1858" s="1227"/>
      <c r="AC1858" s="1227"/>
      <c r="AD1858" s="1227"/>
      <c r="AE1858" s="1227"/>
    </row>
    <row r="1859" spans="28:31">
      <c r="AB1859" s="1227"/>
      <c r="AC1859" s="1227"/>
      <c r="AD1859" s="1227"/>
      <c r="AE1859" s="1227"/>
    </row>
    <row r="1860" spans="28:31">
      <c r="AB1860" s="1227"/>
      <c r="AC1860" s="1227"/>
      <c r="AD1860" s="1227"/>
      <c r="AE1860" s="1227"/>
    </row>
    <row r="1861" spans="28:31">
      <c r="AB1861" s="1227"/>
      <c r="AC1861" s="1227"/>
      <c r="AD1861" s="1227"/>
      <c r="AE1861" s="1227"/>
    </row>
    <row r="1862" spans="28:31">
      <c r="AB1862" s="1227"/>
      <c r="AC1862" s="1227"/>
      <c r="AD1862" s="1227"/>
      <c r="AE1862" s="1227"/>
    </row>
    <row r="1863" spans="28:31">
      <c r="AB1863" s="1227"/>
      <c r="AC1863" s="1227"/>
      <c r="AD1863" s="1227"/>
      <c r="AE1863" s="1227"/>
    </row>
    <row r="1864" spans="28:31">
      <c r="AB1864" s="1227"/>
      <c r="AC1864" s="1227"/>
      <c r="AD1864" s="1227"/>
      <c r="AE1864" s="1227"/>
    </row>
    <row r="1865" spans="28:31">
      <c r="AB1865" s="1227"/>
      <c r="AC1865" s="1227"/>
      <c r="AD1865" s="1227"/>
      <c r="AE1865" s="1227"/>
    </row>
    <row r="1866" spans="28:31">
      <c r="AB1866" s="1227"/>
      <c r="AC1866" s="1227"/>
      <c r="AD1866" s="1227"/>
      <c r="AE1866" s="1227"/>
    </row>
    <row r="1867" spans="28:31">
      <c r="AB1867" s="1227"/>
      <c r="AC1867" s="1227"/>
      <c r="AD1867" s="1227"/>
      <c r="AE1867" s="1227"/>
    </row>
    <row r="1868" spans="28:31">
      <c r="AB1868" s="1227"/>
      <c r="AC1868" s="1227"/>
      <c r="AD1868" s="1227"/>
      <c r="AE1868" s="1227"/>
    </row>
    <row r="1869" spans="28:31">
      <c r="AB1869" s="1227"/>
      <c r="AC1869" s="1227"/>
      <c r="AD1869" s="1227"/>
      <c r="AE1869" s="1227"/>
    </row>
    <row r="1870" spans="28:31">
      <c r="AB1870" s="1227"/>
      <c r="AC1870" s="1227"/>
      <c r="AD1870" s="1227"/>
      <c r="AE1870" s="1227"/>
    </row>
    <row r="1871" spans="28:31">
      <c r="AB1871" s="1227"/>
      <c r="AC1871" s="1227"/>
      <c r="AD1871" s="1227"/>
      <c r="AE1871" s="1227"/>
    </row>
    <row r="1872" spans="28:31">
      <c r="AB1872" s="1227"/>
      <c r="AC1872" s="1227"/>
      <c r="AD1872" s="1227"/>
      <c r="AE1872" s="1227"/>
    </row>
    <row r="1873" spans="28:31">
      <c r="AB1873" s="1227"/>
      <c r="AC1873" s="1227"/>
      <c r="AD1873" s="1227"/>
      <c r="AE1873" s="1227"/>
    </row>
    <row r="1874" spans="28:31">
      <c r="AB1874" s="1227"/>
      <c r="AC1874" s="1227"/>
      <c r="AD1874" s="1227"/>
      <c r="AE1874" s="1227"/>
    </row>
    <row r="1875" spans="28:31">
      <c r="AB1875" s="1227"/>
      <c r="AC1875" s="1227"/>
      <c r="AD1875" s="1227"/>
      <c r="AE1875" s="1227"/>
    </row>
    <row r="1876" spans="28:31">
      <c r="AB1876" s="1227"/>
      <c r="AC1876" s="1227"/>
      <c r="AD1876" s="1227"/>
      <c r="AE1876" s="1227"/>
    </row>
    <row r="1877" spans="28:31">
      <c r="AB1877" s="1227"/>
      <c r="AC1877" s="1227"/>
      <c r="AD1877" s="1227"/>
      <c r="AE1877" s="1227"/>
    </row>
    <row r="1878" spans="28:31">
      <c r="AB1878" s="1227"/>
      <c r="AC1878" s="1227"/>
      <c r="AD1878" s="1227"/>
      <c r="AE1878" s="1227"/>
    </row>
    <row r="1879" spans="28:31">
      <c r="AB1879" s="1227"/>
      <c r="AC1879" s="1227"/>
      <c r="AD1879" s="1227"/>
      <c r="AE1879" s="1227"/>
    </row>
    <row r="1880" spans="28:31">
      <c r="AB1880" s="1227"/>
      <c r="AC1880" s="1227"/>
      <c r="AD1880" s="1227"/>
      <c r="AE1880" s="1227"/>
    </row>
    <row r="1881" spans="28:31">
      <c r="AB1881" s="1227"/>
      <c r="AC1881" s="1227"/>
      <c r="AD1881" s="1227"/>
      <c r="AE1881" s="1227"/>
    </row>
    <row r="1882" spans="28:31">
      <c r="AB1882" s="1227"/>
      <c r="AC1882" s="1227"/>
      <c r="AD1882" s="1227"/>
      <c r="AE1882" s="1227"/>
    </row>
    <row r="1883" spans="28:31">
      <c r="AB1883" s="1227"/>
      <c r="AC1883" s="1227"/>
      <c r="AD1883" s="1227"/>
      <c r="AE1883" s="1227"/>
    </row>
    <row r="1884" spans="28:31">
      <c r="AB1884" s="1227"/>
      <c r="AC1884" s="1227"/>
      <c r="AD1884" s="1227"/>
      <c r="AE1884" s="1227"/>
    </row>
    <row r="1885" spans="28:31">
      <c r="AB1885" s="1227"/>
      <c r="AC1885" s="1227"/>
      <c r="AD1885" s="1227"/>
      <c r="AE1885" s="1227"/>
    </row>
    <row r="1886" spans="28:31">
      <c r="AB1886" s="1227"/>
      <c r="AC1886" s="1227"/>
      <c r="AD1886" s="1227"/>
      <c r="AE1886" s="1227"/>
    </row>
    <row r="1887" spans="28:31">
      <c r="AB1887" s="1227"/>
      <c r="AC1887" s="1227"/>
      <c r="AD1887" s="1227"/>
      <c r="AE1887" s="1227"/>
    </row>
    <row r="1888" spans="28:31">
      <c r="AB1888" s="1227"/>
      <c r="AC1888" s="1227"/>
      <c r="AD1888" s="1227"/>
      <c r="AE1888" s="1227"/>
    </row>
    <row r="1889" spans="28:31">
      <c r="AB1889" s="1227"/>
      <c r="AC1889" s="1227"/>
      <c r="AD1889" s="1227"/>
      <c r="AE1889" s="1227"/>
    </row>
    <row r="1890" spans="28:31">
      <c r="AB1890" s="1227"/>
      <c r="AC1890" s="1227"/>
      <c r="AD1890" s="1227"/>
      <c r="AE1890" s="1227"/>
    </row>
    <row r="1891" spans="28:31">
      <c r="AB1891" s="1227"/>
      <c r="AC1891" s="1227"/>
      <c r="AD1891" s="1227"/>
      <c r="AE1891" s="1227"/>
    </row>
    <row r="1892" spans="28:31">
      <c r="AB1892" s="1227"/>
      <c r="AC1892" s="1227"/>
      <c r="AD1892" s="1227"/>
      <c r="AE1892" s="1227"/>
    </row>
    <row r="1893" spans="28:31">
      <c r="AB1893" s="1227"/>
      <c r="AC1893" s="1227"/>
      <c r="AD1893" s="1227"/>
      <c r="AE1893" s="1227"/>
    </row>
    <row r="1894" spans="28:31">
      <c r="AB1894" s="1227"/>
      <c r="AC1894" s="1227"/>
      <c r="AD1894" s="1227"/>
      <c r="AE1894" s="1227"/>
    </row>
    <row r="1895" spans="28:31">
      <c r="AB1895" s="1227"/>
      <c r="AC1895" s="1227"/>
      <c r="AD1895" s="1227"/>
      <c r="AE1895" s="1227"/>
    </row>
    <row r="1896" spans="28:31">
      <c r="AB1896" s="1227"/>
      <c r="AC1896" s="1227"/>
      <c r="AD1896" s="1227"/>
      <c r="AE1896" s="1227"/>
    </row>
    <row r="1897" spans="28:31">
      <c r="AB1897" s="1227"/>
      <c r="AC1897" s="1227"/>
      <c r="AD1897" s="1227"/>
      <c r="AE1897" s="1227"/>
    </row>
    <row r="1898" spans="28:31">
      <c r="AB1898" s="1227"/>
      <c r="AC1898" s="1227"/>
      <c r="AD1898" s="1227"/>
      <c r="AE1898" s="1227"/>
    </row>
    <row r="1899" spans="28:31">
      <c r="AB1899" s="1227"/>
      <c r="AC1899" s="1227"/>
      <c r="AD1899" s="1227"/>
      <c r="AE1899" s="1227"/>
    </row>
    <row r="1900" spans="28:31">
      <c r="AB1900" s="1227"/>
      <c r="AC1900" s="1227"/>
      <c r="AD1900" s="1227"/>
      <c r="AE1900" s="1227"/>
    </row>
    <row r="1901" spans="28:31">
      <c r="AB1901" s="1227"/>
      <c r="AC1901" s="1227"/>
      <c r="AD1901" s="1227"/>
      <c r="AE1901" s="1227"/>
    </row>
    <row r="1902" spans="28:31">
      <c r="AB1902" s="1227"/>
      <c r="AC1902" s="1227"/>
      <c r="AD1902" s="1227"/>
      <c r="AE1902" s="1227"/>
    </row>
    <row r="1903" spans="28:31">
      <c r="AB1903" s="1227"/>
      <c r="AC1903" s="1227"/>
      <c r="AD1903" s="1227"/>
      <c r="AE1903" s="1227"/>
    </row>
    <row r="1904" spans="28:31">
      <c r="AB1904" s="1227"/>
      <c r="AC1904" s="1227"/>
      <c r="AD1904" s="1227"/>
      <c r="AE1904" s="1227"/>
    </row>
    <row r="1905" spans="28:31">
      <c r="AB1905" s="1227"/>
      <c r="AC1905" s="1227"/>
      <c r="AD1905" s="1227"/>
      <c r="AE1905" s="1227"/>
    </row>
    <row r="1906" spans="28:31">
      <c r="AB1906" s="1227"/>
      <c r="AC1906" s="1227"/>
      <c r="AD1906" s="1227"/>
      <c r="AE1906" s="1227"/>
    </row>
    <row r="1907" spans="28:31">
      <c r="AB1907" s="1227"/>
      <c r="AC1907" s="1227"/>
      <c r="AD1907" s="1227"/>
      <c r="AE1907" s="1227"/>
    </row>
    <row r="1908" spans="28:31">
      <c r="AB1908" s="1227"/>
      <c r="AC1908" s="1227"/>
      <c r="AD1908" s="1227"/>
      <c r="AE1908" s="1227"/>
    </row>
    <row r="1909" spans="28:31">
      <c r="AB1909" s="1227"/>
      <c r="AC1909" s="1227"/>
      <c r="AD1909" s="1227"/>
      <c r="AE1909" s="1227"/>
    </row>
    <row r="1910" spans="28:31">
      <c r="AB1910" s="1227"/>
      <c r="AC1910" s="1227"/>
      <c r="AD1910" s="1227"/>
      <c r="AE1910" s="1227"/>
    </row>
    <row r="1911" spans="28:31">
      <c r="AB1911" s="1227"/>
      <c r="AC1911" s="1227"/>
      <c r="AD1911" s="1227"/>
      <c r="AE1911" s="1227"/>
    </row>
    <row r="1912" spans="28:31">
      <c r="AB1912" s="1227"/>
      <c r="AC1912" s="1227"/>
      <c r="AD1912" s="1227"/>
      <c r="AE1912" s="1227"/>
    </row>
    <row r="1913" spans="28:31">
      <c r="AB1913" s="1227"/>
      <c r="AC1913" s="1227"/>
      <c r="AD1913" s="1227"/>
      <c r="AE1913" s="1227"/>
    </row>
    <row r="1914" spans="28:31">
      <c r="AB1914" s="1227"/>
      <c r="AC1914" s="1227"/>
      <c r="AD1914" s="1227"/>
      <c r="AE1914" s="1227"/>
    </row>
    <row r="1915" spans="28:31">
      <c r="AB1915" s="1227"/>
      <c r="AC1915" s="1227"/>
      <c r="AD1915" s="1227"/>
      <c r="AE1915" s="1227"/>
    </row>
    <row r="1916" spans="28:31">
      <c r="AB1916" s="1227"/>
      <c r="AC1916" s="1227"/>
      <c r="AD1916" s="1227"/>
      <c r="AE1916" s="1227"/>
    </row>
    <row r="1917" spans="28:31">
      <c r="AB1917" s="1227"/>
      <c r="AC1917" s="1227"/>
      <c r="AD1917" s="1227"/>
      <c r="AE1917" s="1227"/>
    </row>
    <row r="1918" spans="28:31">
      <c r="AB1918" s="1227"/>
      <c r="AC1918" s="1227"/>
      <c r="AD1918" s="1227"/>
      <c r="AE1918" s="1227"/>
    </row>
    <row r="1919" spans="28:31">
      <c r="AB1919" s="1227"/>
      <c r="AC1919" s="1227"/>
      <c r="AD1919" s="1227"/>
      <c r="AE1919" s="1227"/>
    </row>
    <row r="1920" spans="28:31">
      <c r="AB1920" s="1227"/>
      <c r="AC1920" s="1227"/>
      <c r="AD1920" s="1227"/>
      <c r="AE1920" s="1227"/>
    </row>
    <row r="1921" spans="28:31">
      <c r="AB1921" s="1227"/>
      <c r="AC1921" s="1227"/>
      <c r="AD1921" s="1227"/>
      <c r="AE1921" s="1227"/>
    </row>
    <row r="1922" spans="28:31">
      <c r="AB1922" s="1227"/>
      <c r="AC1922" s="1227"/>
      <c r="AD1922" s="1227"/>
      <c r="AE1922" s="1227"/>
    </row>
    <row r="1923" spans="28:31">
      <c r="AB1923" s="1227"/>
      <c r="AC1923" s="1227"/>
      <c r="AD1923" s="1227"/>
      <c r="AE1923" s="1227"/>
    </row>
    <row r="1924" spans="28:31">
      <c r="AB1924" s="1227"/>
      <c r="AC1924" s="1227"/>
      <c r="AD1924" s="1227"/>
      <c r="AE1924" s="1227"/>
    </row>
    <row r="1925" spans="28:31">
      <c r="AB1925" s="1227"/>
      <c r="AC1925" s="1227"/>
      <c r="AD1925" s="1227"/>
      <c r="AE1925" s="1227"/>
    </row>
    <row r="1926" spans="28:31">
      <c r="AB1926" s="1227"/>
      <c r="AC1926" s="1227"/>
      <c r="AD1926" s="1227"/>
      <c r="AE1926" s="1227"/>
    </row>
    <row r="1927" spans="28:31">
      <c r="AB1927" s="1227"/>
      <c r="AC1927" s="1227"/>
      <c r="AD1927" s="1227"/>
      <c r="AE1927" s="1227"/>
    </row>
    <row r="1928" spans="28:31">
      <c r="AB1928" s="1227"/>
      <c r="AC1928" s="1227"/>
      <c r="AD1928" s="1227"/>
      <c r="AE1928" s="1227"/>
    </row>
    <row r="1929" spans="28:31">
      <c r="AB1929" s="1227"/>
      <c r="AC1929" s="1227"/>
      <c r="AD1929" s="1227"/>
      <c r="AE1929" s="1227"/>
    </row>
    <row r="1930" spans="28:31">
      <c r="AB1930" s="1227"/>
      <c r="AC1930" s="1227"/>
      <c r="AD1930" s="1227"/>
      <c r="AE1930" s="1227"/>
    </row>
    <row r="1931" spans="28:31">
      <c r="AB1931" s="1227"/>
      <c r="AC1931" s="1227"/>
      <c r="AD1931" s="1227"/>
      <c r="AE1931" s="1227"/>
    </row>
    <row r="1932" spans="28:31">
      <c r="AB1932" s="1227"/>
      <c r="AC1932" s="1227"/>
      <c r="AD1932" s="1227"/>
      <c r="AE1932" s="1227"/>
    </row>
    <row r="1933" spans="28:31">
      <c r="AB1933" s="1227"/>
      <c r="AC1933" s="1227"/>
      <c r="AD1933" s="1227"/>
      <c r="AE1933" s="1227"/>
    </row>
    <row r="1934" spans="28:31">
      <c r="AB1934" s="1227"/>
      <c r="AC1934" s="1227"/>
      <c r="AD1934" s="1227"/>
      <c r="AE1934" s="1227"/>
    </row>
    <row r="1935" spans="28:31">
      <c r="AB1935" s="1227"/>
      <c r="AC1935" s="1227"/>
      <c r="AD1935" s="1227"/>
      <c r="AE1935" s="1227"/>
    </row>
    <row r="1936" spans="28:31">
      <c r="AB1936" s="1227"/>
      <c r="AC1936" s="1227"/>
      <c r="AD1936" s="1227"/>
      <c r="AE1936" s="1227"/>
    </row>
    <row r="1937" spans="28:31">
      <c r="AB1937" s="1227"/>
      <c r="AC1937" s="1227"/>
      <c r="AD1937" s="1227"/>
      <c r="AE1937" s="1227"/>
    </row>
    <row r="1938" spans="28:31">
      <c r="AB1938" s="1227"/>
      <c r="AC1938" s="1227"/>
      <c r="AD1938" s="1227"/>
      <c r="AE1938" s="1227"/>
    </row>
    <row r="1939" spans="28:31">
      <c r="AB1939" s="1227"/>
      <c r="AC1939" s="1227"/>
      <c r="AD1939" s="1227"/>
      <c r="AE1939" s="1227"/>
    </row>
    <row r="1940" spans="28:31">
      <c r="AB1940" s="1227"/>
      <c r="AC1940" s="1227"/>
      <c r="AD1940" s="1227"/>
      <c r="AE1940" s="1227"/>
    </row>
    <row r="1941" spans="28:31">
      <c r="AB1941" s="1227"/>
      <c r="AC1941" s="1227"/>
      <c r="AD1941" s="1227"/>
      <c r="AE1941" s="1227"/>
    </row>
    <row r="1942" spans="28:31">
      <c r="AB1942" s="1227"/>
      <c r="AC1942" s="1227"/>
      <c r="AD1942" s="1227"/>
      <c r="AE1942" s="1227"/>
    </row>
    <row r="1943" spans="28:31">
      <c r="AB1943" s="1227"/>
      <c r="AC1943" s="1227"/>
      <c r="AD1943" s="1227"/>
      <c r="AE1943" s="1227"/>
    </row>
    <row r="1944" spans="28:31">
      <c r="AB1944" s="1227"/>
      <c r="AC1944" s="1227"/>
      <c r="AD1944" s="1227"/>
      <c r="AE1944" s="1227"/>
    </row>
    <row r="1945" spans="28:31">
      <c r="AB1945" s="1227"/>
      <c r="AC1945" s="1227"/>
      <c r="AD1945" s="1227"/>
      <c r="AE1945" s="1227"/>
    </row>
    <row r="1946" spans="28:31">
      <c r="AB1946" s="1227"/>
      <c r="AC1946" s="1227"/>
      <c r="AD1946" s="1227"/>
      <c r="AE1946" s="1227"/>
    </row>
    <row r="1947" spans="28:31">
      <c r="AB1947" s="1227"/>
      <c r="AC1947" s="1227"/>
      <c r="AD1947" s="1227"/>
      <c r="AE1947" s="1227"/>
    </row>
    <row r="1948" spans="28:31">
      <c r="AB1948" s="1227"/>
      <c r="AC1948" s="1227"/>
      <c r="AD1948" s="1227"/>
      <c r="AE1948" s="1227"/>
    </row>
    <row r="1949" spans="28:31">
      <c r="AB1949" s="1227"/>
      <c r="AC1949" s="1227"/>
      <c r="AD1949" s="1227"/>
      <c r="AE1949" s="1227"/>
    </row>
    <row r="1950" spans="28:31">
      <c r="AB1950" s="1227"/>
      <c r="AC1950" s="1227"/>
      <c r="AD1950" s="1227"/>
      <c r="AE1950" s="1227"/>
    </row>
    <row r="1951" spans="28:31">
      <c r="AB1951" s="1227"/>
      <c r="AC1951" s="1227"/>
      <c r="AD1951" s="1227"/>
      <c r="AE1951" s="1227"/>
    </row>
    <row r="1952" spans="28:31">
      <c r="AB1952" s="1227"/>
      <c r="AC1952" s="1227"/>
      <c r="AD1952" s="1227"/>
      <c r="AE1952" s="1227"/>
    </row>
    <row r="1953" spans="28:31">
      <c r="AB1953" s="1227"/>
      <c r="AC1953" s="1227"/>
      <c r="AD1953" s="1227"/>
      <c r="AE1953" s="1227"/>
    </row>
    <row r="1954" spans="28:31">
      <c r="AB1954" s="1227"/>
      <c r="AC1954" s="1227"/>
      <c r="AD1954" s="1227"/>
      <c r="AE1954" s="1227"/>
    </row>
    <row r="1955" spans="28:31">
      <c r="AB1955" s="1227"/>
      <c r="AC1955" s="1227"/>
      <c r="AD1955" s="1227"/>
      <c r="AE1955" s="1227"/>
    </row>
    <row r="1956" spans="28:31">
      <c r="AB1956" s="1227"/>
      <c r="AC1956" s="1227"/>
      <c r="AD1956" s="1227"/>
      <c r="AE1956" s="1227"/>
    </row>
    <row r="1957" spans="28:31">
      <c r="AB1957" s="1227"/>
      <c r="AC1957" s="1227"/>
      <c r="AD1957" s="1227"/>
      <c r="AE1957" s="1227"/>
    </row>
    <row r="1958" spans="28:31">
      <c r="AB1958" s="1227"/>
      <c r="AC1958" s="1227"/>
      <c r="AD1958" s="1227"/>
      <c r="AE1958" s="1227"/>
    </row>
    <row r="1959" spans="28:31">
      <c r="AB1959" s="1227"/>
      <c r="AC1959" s="1227"/>
      <c r="AD1959" s="1227"/>
      <c r="AE1959" s="1227"/>
    </row>
    <row r="1960" spans="28:31">
      <c r="AB1960" s="1227"/>
      <c r="AC1960" s="1227"/>
      <c r="AD1960" s="1227"/>
      <c r="AE1960" s="1227"/>
    </row>
    <row r="1961" spans="28:31">
      <c r="AB1961" s="1227"/>
      <c r="AC1961" s="1227"/>
      <c r="AD1961" s="1227"/>
      <c r="AE1961" s="1227"/>
    </row>
    <row r="1962" spans="28:31">
      <c r="AB1962" s="1227"/>
      <c r="AC1962" s="1227"/>
      <c r="AD1962" s="1227"/>
      <c r="AE1962" s="1227"/>
    </row>
    <row r="1963" spans="28:31">
      <c r="AB1963" s="1227"/>
      <c r="AC1963" s="1227"/>
      <c r="AD1963" s="1227"/>
      <c r="AE1963" s="1227"/>
    </row>
    <row r="1964" spans="28:31">
      <c r="AB1964" s="1227"/>
      <c r="AC1964" s="1227"/>
      <c r="AD1964" s="1227"/>
      <c r="AE1964" s="1227"/>
    </row>
    <row r="1965" spans="28:31">
      <c r="AB1965" s="1227"/>
      <c r="AC1965" s="1227"/>
      <c r="AD1965" s="1227"/>
      <c r="AE1965" s="1227"/>
    </row>
    <row r="1966" spans="28:31">
      <c r="AB1966" s="1227"/>
      <c r="AC1966" s="1227"/>
      <c r="AD1966" s="1227"/>
      <c r="AE1966" s="1227"/>
    </row>
    <row r="1967" spans="28:31">
      <c r="AB1967" s="1227"/>
      <c r="AC1967" s="1227"/>
      <c r="AD1967" s="1227"/>
      <c r="AE1967" s="1227"/>
    </row>
    <row r="1968" spans="28:31">
      <c r="AB1968" s="1227"/>
      <c r="AC1968" s="1227"/>
      <c r="AD1968" s="1227"/>
      <c r="AE1968" s="1227"/>
    </row>
    <row r="1969" spans="28:31">
      <c r="AB1969" s="1227"/>
      <c r="AC1969" s="1227"/>
      <c r="AD1969" s="1227"/>
      <c r="AE1969" s="1227"/>
    </row>
    <row r="1970" spans="28:31">
      <c r="AB1970" s="1227"/>
      <c r="AC1970" s="1227"/>
      <c r="AD1970" s="1227"/>
      <c r="AE1970" s="1227"/>
    </row>
    <row r="1971" spans="28:31">
      <c r="AB1971" s="1227"/>
      <c r="AC1971" s="1227"/>
      <c r="AD1971" s="1227"/>
      <c r="AE1971" s="1227"/>
    </row>
    <row r="1972" spans="28:31">
      <c r="AB1972" s="1227"/>
      <c r="AC1972" s="1227"/>
      <c r="AD1972" s="1227"/>
      <c r="AE1972" s="1227"/>
    </row>
    <row r="1973" spans="28:31">
      <c r="AB1973" s="1227"/>
      <c r="AC1973" s="1227"/>
      <c r="AD1973" s="1227"/>
      <c r="AE1973" s="1227"/>
    </row>
    <row r="1974" spans="28:31">
      <c r="AB1974" s="1227"/>
      <c r="AC1974" s="1227"/>
      <c r="AD1974" s="1227"/>
      <c r="AE1974" s="1227"/>
    </row>
    <row r="1975" spans="28:31">
      <c r="AB1975" s="1227"/>
      <c r="AC1975" s="1227"/>
      <c r="AD1975" s="1227"/>
      <c r="AE1975" s="1227"/>
    </row>
    <row r="1976" spans="28:31">
      <c r="AB1976" s="1227"/>
      <c r="AC1976" s="1227"/>
      <c r="AD1976" s="1227"/>
      <c r="AE1976" s="1227"/>
    </row>
    <row r="1977" spans="28:31">
      <c r="AB1977" s="1227"/>
      <c r="AC1977" s="1227"/>
      <c r="AD1977" s="1227"/>
      <c r="AE1977" s="1227"/>
    </row>
    <row r="1978" spans="28:31">
      <c r="AB1978" s="1227"/>
      <c r="AC1978" s="1227"/>
      <c r="AD1978" s="1227"/>
      <c r="AE1978" s="1227"/>
    </row>
    <row r="1979" spans="28:31">
      <c r="AB1979" s="1227"/>
      <c r="AC1979" s="1227"/>
      <c r="AD1979" s="1227"/>
      <c r="AE1979" s="1227"/>
    </row>
    <row r="1980" spans="28:31">
      <c r="AB1980" s="1227"/>
      <c r="AC1980" s="1227"/>
      <c r="AD1980" s="1227"/>
      <c r="AE1980" s="1227"/>
    </row>
    <row r="1981" spans="28:31">
      <c r="AB1981" s="1227"/>
      <c r="AC1981" s="1227"/>
      <c r="AD1981" s="1227"/>
      <c r="AE1981" s="1227"/>
    </row>
    <row r="1982" spans="28:31">
      <c r="AB1982" s="1227"/>
      <c r="AC1982" s="1227"/>
      <c r="AD1982" s="1227"/>
      <c r="AE1982" s="1227"/>
    </row>
    <row r="1983" spans="28:31">
      <c r="AB1983" s="1227"/>
      <c r="AC1983" s="1227"/>
      <c r="AD1983" s="1227"/>
      <c r="AE1983" s="1227"/>
    </row>
    <row r="1984" spans="28:31">
      <c r="AB1984" s="1227"/>
      <c r="AC1984" s="1227"/>
      <c r="AD1984" s="1227"/>
      <c r="AE1984" s="1227"/>
    </row>
    <row r="1985" spans="28:31">
      <c r="AB1985" s="1227"/>
      <c r="AC1985" s="1227"/>
      <c r="AD1985" s="1227"/>
      <c r="AE1985" s="1227"/>
    </row>
    <row r="1986" spans="28:31">
      <c r="AB1986" s="1227"/>
      <c r="AC1986" s="1227"/>
      <c r="AD1986" s="1227"/>
      <c r="AE1986" s="1227"/>
    </row>
    <row r="1987" spans="28:31">
      <c r="AB1987" s="1227"/>
      <c r="AC1987" s="1227"/>
      <c r="AD1987" s="1227"/>
      <c r="AE1987" s="1227"/>
    </row>
    <row r="1988" spans="28:31">
      <c r="AB1988" s="1227"/>
      <c r="AC1988" s="1227"/>
      <c r="AD1988" s="1227"/>
      <c r="AE1988" s="1227"/>
    </row>
    <row r="1989" spans="28:31">
      <c r="AB1989" s="1227"/>
      <c r="AC1989" s="1227"/>
      <c r="AD1989" s="1227"/>
      <c r="AE1989" s="1227"/>
    </row>
    <row r="1990" spans="28:31">
      <c r="AB1990" s="1227"/>
      <c r="AC1990" s="1227"/>
      <c r="AD1990" s="1227"/>
      <c r="AE1990" s="1227"/>
    </row>
    <row r="1991" spans="28:31">
      <c r="AB1991" s="1227"/>
      <c r="AC1991" s="1227"/>
      <c r="AD1991" s="1227"/>
      <c r="AE1991" s="1227"/>
    </row>
    <row r="1992" spans="28:31">
      <c r="AB1992" s="1227"/>
      <c r="AC1992" s="1227"/>
      <c r="AD1992" s="1227"/>
      <c r="AE1992" s="1227"/>
    </row>
    <row r="1993" spans="28:31">
      <c r="AB1993" s="1227"/>
      <c r="AC1993" s="1227"/>
      <c r="AD1993" s="1227"/>
      <c r="AE1993" s="1227"/>
    </row>
    <row r="1994" spans="28:31">
      <c r="AB1994" s="1227"/>
      <c r="AC1994" s="1227"/>
      <c r="AD1994" s="1227"/>
      <c r="AE1994" s="1227"/>
    </row>
    <row r="1995" spans="28:31">
      <c r="AB1995" s="1227"/>
      <c r="AC1995" s="1227"/>
      <c r="AD1995" s="1227"/>
      <c r="AE1995" s="1227"/>
    </row>
    <row r="1996" spans="28:31">
      <c r="AB1996" s="1227"/>
      <c r="AC1996" s="1227"/>
      <c r="AD1996" s="1227"/>
      <c r="AE1996" s="1227"/>
    </row>
    <row r="1997" spans="28:31">
      <c r="AB1997" s="1227"/>
      <c r="AC1997" s="1227"/>
      <c r="AD1997" s="1227"/>
      <c r="AE1997" s="1227"/>
    </row>
    <row r="1998" spans="28:31">
      <c r="AB1998" s="1227"/>
      <c r="AC1998" s="1227"/>
      <c r="AD1998" s="1227"/>
      <c r="AE1998" s="1227"/>
    </row>
    <row r="1999" spans="28:31">
      <c r="AB1999" s="1227"/>
      <c r="AC1999" s="1227"/>
      <c r="AD1999" s="1227"/>
      <c r="AE1999" s="1227"/>
    </row>
    <row r="2000" spans="28:31">
      <c r="AB2000" s="1227"/>
      <c r="AC2000" s="1227"/>
      <c r="AD2000" s="1227"/>
      <c r="AE2000" s="1227"/>
    </row>
    <row r="2001" spans="28:31">
      <c r="AB2001" s="1227"/>
      <c r="AC2001" s="1227"/>
      <c r="AD2001" s="1227"/>
      <c r="AE2001" s="1227"/>
    </row>
    <row r="2002" spans="28:31">
      <c r="AB2002" s="1227"/>
      <c r="AC2002" s="1227"/>
      <c r="AD2002" s="1227"/>
      <c r="AE2002" s="1227"/>
    </row>
    <row r="2003" spans="28:31">
      <c r="AB2003" s="1227"/>
      <c r="AC2003" s="1227"/>
      <c r="AD2003" s="1227"/>
      <c r="AE2003" s="1227"/>
    </row>
    <row r="2004" spans="28:31">
      <c r="AB2004" s="1227"/>
      <c r="AC2004" s="1227"/>
      <c r="AD2004" s="1227"/>
      <c r="AE2004" s="1227"/>
    </row>
    <row r="2005" spans="28:31">
      <c r="AB2005" s="1227"/>
      <c r="AC2005" s="1227"/>
      <c r="AD2005" s="1227"/>
      <c r="AE2005" s="1227"/>
    </row>
    <row r="2006" spans="28:31">
      <c r="AB2006" s="1227"/>
      <c r="AC2006" s="1227"/>
      <c r="AD2006" s="1227"/>
      <c r="AE2006" s="1227"/>
    </row>
    <row r="2007" spans="28:31">
      <c r="AB2007" s="1227"/>
      <c r="AC2007" s="1227"/>
      <c r="AD2007" s="1227"/>
      <c r="AE2007" s="1227"/>
    </row>
    <row r="2008" spans="28:31">
      <c r="AB2008" s="1227"/>
      <c r="AC2008" s="1227"/>
      <c r="AD2008" s="1227"/>
      <c r="AE2008" s="1227"/>
    </row>
    <row r="2009" spans="28:31">
      <c r="AB2009" s="1227"/>
      <c r="AC2009" s="1227"/>
      <c r="AD2009" s="1227"/>
      <c r="AE2009" s="1227"/>
    </row>
    <row r="2010" spans="28:31">
      <c r="AB2010" s="1227"/>
      <c r="AC2010" s="1227"/>
      <c r="AD2010" s="1227"/>
      <c r="AE2010" s="1227"/>
    </row>
    <row r="2011" spans="28:31">
      <c r="AB2011" s="1227"/>
      <c r="AC2011" s="1227"/>
      <c r="AD2011" s="1227"/>
      <c r="AE2011" s="1227"/>
    </row>
    <row r="2012" spans="28:31">
      <c r="AB2012" s="1227"/>
      <c r="AC2012" s="1227"/>
      <c r="AD2012" s="1227"/>
      <c r="AE2012" s="1227"/>
    </row>
    <row r="2013" spans="28:31">
      <c r="AB2013" s="1227"/>
      <c r="AC2013" s="1227"/>
      <c r="AD2013" s="1227"/>
      <c r="AE2013" s="1227"/>
    </row>
    <row r="2014" spans="28:31">
      <c r="AB2014" s="1227"/>
      <c r="AC2014" s="1227"/>
      <c r="AD2014" s="1227"/>
      <c r="AE2014" s="1227"/>
    </row>
    <row r="2015" spans="28:31">
      <c r="AB2015" s="1227"/>
      <c r="AC2015" s="1227"/>
      <c r="AD2015" s="1227"/>
      <c r="AE2015" s="1227"/>
    </row>
    <row r="2016" spans="28:31">
      <c r="AB2016" s="1227"/>
      <c r="AC2016" s="1227"/>
      <c r="AD2016" s="1227"/>
      <c r="AE2016" s="1227"/>
    </row>
    <row r="2017" spans="28:31">
      <c r="AB2017" s="1227"/>
      <c r="AC2017" s="1227"/>
      <c r="AD2017" s="1227"/>
      <c r="AE2017" s="1227"/>
    </row>
    <row r="2018" spans="28:31">
      <c r="AB2018" s="1227"/>
      <c r="AC2018" s="1227"/>
      <c r="AD2018" s="1227"/>
      <c r="AE2018" s="1227"/>
    </row>
    <row r="2019" spans="28:31">
      <c r="AB2019" s="1227"/>
      <c r="AC2019" s="1227"/>
      <c r="AD2019" s="1227"/>
      <c r="AE2019" s="1227"/>
    </row>
    <row r="2020" spans="28:31">
      <c r="AB2020" s="1227"/>
      <c r="AC2020" s="1227"/>
      <c r="AD2020" s="1227"/>
      <c r="AE2020" s="1227"/>
    </row>
    <row r="2021" spans="28:31">
      <c r="AB2021" s="1227"/>
      <c r="AC2021" s="1227"/>
      <c r="AD2021" s="1227"/>
      <c r="AE2021" s="1227"/>
    </row>
    <row r="2022" spans="28:31">
      <c r="AB2022" s="1227"/>
      <c r="AC2022" s="1227"/>
      <c r="AD2022" s="1227"/>
      <c r="AE2022" s="1227"/>
    </row>
    <row r="2023" spans="28:31">
      <c r="AB2023" s="1227"/>
      <c r="AC2023" s="1227"/>
      <c r="AD2023" s="1227"/>
      <c r="AE2023" s="1227"/>
    </row>
    <row r="2024" spans="28:31">
      <c r="AB2024" s="1227"/>
      <c r="AC2024" s="1227"/>
      <c r="AD2024" s="1227"/>
      <c r="AE2024" s="1227"/>
    </row>
    <row r="2025" spans="28:31">
      <c r="AB2025" s="1227"/>
      <c r="AC2025" s="1227"/>
      <c r="AD2025" s="1227"/>
      <c r="AE2025" s="1227"/>
    </row>
    <row r="2026" spans="28:31">
      <c r="AB2026" s="1227"/>
      <c r="AC2026" s="1227"/>
      <c r="AD2026" s="1227"/>
      <c r="AE2026" s="1227"/>
    </row>
    <row r="2027" spans="28:31">
      <c r="AB2027" s="1227"/>
      <c r="AC2027" s="1227"/>
      <c r="AD2027" s="1227"/>
      <c r="AE2027" s="1227"/>
    </row>
    <row r="2028" spans="28:31">
      <c r="AB2028" s="1227"/>
      <c r="AC2028" s="1227"/>
      <c r="AD2028" s="1227"/>
      <c r="AE2028" s="1227"/>
    </row>
    <row r="2029" spans="28:31">
      <c r="AB2029" s="1227"/>
      <c r="AC2029" s="1227"/>
      <c r="AD2029" s="1227"/>
      <c r="AE2029" s="1227"/>
    </row>
    <row r="2030" spans="28:31">
      <c r="AB2030" s="1227"/>
      <c r="AC2030" s="1227"/>
      <c r="AD2030" s="1227"/>
      <c r="AE2030" s="1227"/>
    </row>
    <row r="2031" spans="28:31">
      <c r="AB2031" s="1227"/>
      <c r="AC2031" s="1227"/>
      <c r="AD2031" s="1227"/>
      <c r="AE2031" s="1227"/>
    </row>
    <row r="2032" spans="28:31">
      <c r="AB2032" s="1227"/>
      <c r="AC2032" s="1227"/>
      <c r="AD2032" s="1227"/>
      <c r="AE2032" s="1227"/>
    </row>
    <row r="2033" spans="28:31">
      <c r="AB2033" s="1227"/>
      <c r="AC2033" s="1227"/>
      <c r="AD2033" s="1227"/>
      <c r="AE2033" s="1227"/>
    </row>
    <row r="2034" spans="28:31">
      <c r="AB2034" s="1227"/>
      <c r="AC2034" s="1227"/>
      <c r="AD2034" s="1227"/>
      <c r="AE2034" s="1227"/>
    </row>
    <row r="2035" spans="28:31">
      <c r="AB2035" s="1227"/>
      <c r="AC2035" s="1227"/>
      <c r="AD2035" s="1227"/>
      <c r="AE2035" s="1227"/>
    </row>
    <row r="2036" spans="28:31">
      <c r="AB2036" s="1227"/>
      <c r="AC2036" s="1227"/>
      <c r="AD2036" s="1227"/>
      <c r="AE2036" s="1227"/>
    </row>
    <row r="2037" spans="28:31">
      <c r="AB2037" s="1227"/>
      <c r="AC2037" s="1227"/>
      <c r="AD2037" s="1227"/>
      <c r="AE2037" s="1227"/>
    </row>
    <row r="2038" spans="28:31">
      <c r="AB2038" s="1227"/>
      <c r="AC2038" s="1227"/>
      <c r="AD2038" s="1227"/>
      <c r="AE2038" s="1227"/>
    </row>
    <row r="2039" spans="28:31">
      <c r="AB2039" s="1227"/>
      <c r="AC2039" s="1227"/>
      <c r="AD2039" s="1227"/>
      <c r="AE2039" s="1227"/>
    </row>
    <row r="2040" spans="28:31">
      <c r="AB2040" s="1227"/>
      <c r="AC2040" s="1227"/>
      <c r="AD2040" s="1227"/>
      <c r="AE2040" s="1227"/>
    </row>
    <row r="2041" spans="28:31">
      <c r="AB2041" s="1227"/>
      <c r="AC2041" s="1227"/>
      <c r="AD2041" s="1227"/>
      <c r="AE2041" s="1227"/>
    </row>
    <row r="2042" spans="28:31">
      <c r="AB2042" s="1227"/>
      <c r="AC2042" s="1227"/>
      <c r="AD2042" s="1227"/>
      <c r="AE2042" s="1227"/>
    </row>
    <row r="2043" spans="28:31">
      <c r="AB2043" s="1227"/>
      <c r="AC2043" s="1227"/>
      <c r="AD2043" s="1227"/>
      <c r="AE2043" s="1227"/>
    </row>
    <row r="2044" spans="28:31">
      <c r="AB2044" s="1227"/>
      <c r="AC2044" s="1227"/>
      <c r="AD2044" s="1227"/>
      <c r="AE2044" s="1227"/>
    </row>
    <row r="2045" spans="28:31">
      <c r="AB2045" s="1227"/>
      <c r="AC2045" s="1227"/>
      <c r="AD2045" s="1227"/>
      <c r="AE2045" s="1227"/>
    </row>
    <row r="2046" spans="28:31">
      <c r="AB2046" s="1227"/>
      <c r="AC2046" s="1227"/>
      <c r="AD2046" s="1227"/>
      <c r="AE2046" s="1227"/>
    </row>
    <row r="2047" spans="28:31">
      <c r="AB2047" s="1227"/>
      <c r="AC2047" s="1227"/>
      <c r="AD2047" s="1227"/>
      <c r="AE2047" s="1227"/>
    </row>
    <row r="2048" spans="28:31">
      <c r="AB2048" s="1227"/>
      <c r="AC2048" s="1227"/>
      <c r="AD2048" s="1227"/>
      <c r="AE2048" s="1227"/>
    </row>
    <row r="2049" spans="28:31">
      <c r="AB2049" s="1227"/>
      <c r="AC2049" s="1227"/>
      <c r="AD2049" s="1227"/>
      <c r="AE2049" s="1227"/>
    </row>
    <row r="2050" spans="28:31">
      <c r="AB2050" s="1227"/>
      <c r="AC2050" s="1227"/>
      <c r="AD2050" s="1227"/>
      <c r="AE2050" s="1227"/>
    </row>
    <row r="2051" spans="28:31">
      <c r="AB2051" s="1227"/>
      <c r="AC2051" s="1227"/>
      <c r="AD2051" s="1227"/>
      <c r="AE2051" s="1227"/>
    </row>
    <row r="2052" spans="28:31">
      <c r="AB2052" s="1227"/>
      <c r="AC2052" s="1227"/>
      <c r="AD2052" s="1227"/>
      <c r="AE2052" s="1227"/>
    </row>
    <row r="2053" spans="28:31">
      <c r="AB2053" s="1227"/>
      <c r="AC2053" s="1227"/>
      <c r="AD2053" s="1227"/>
      <c r="AE2053" s="1227"/>
    </row>
    <row r="2054" spans="28:31">
      <c r="AB2054" s="1227"/>
      <c r="AC2054" s="1227"/>
      <c r="AD2054" s="1227"/>
      <c r="AE2054" s="1227"/>
    </row>
    <row r="2055" spans="28:31">
      <c r="AB2055" s="1227"/>
      <c r="AC2055" s="1227"/>
      <c r="AD2055" s="1227"/>
      <c r="AE2055" s="1227"/>
    </row>
    <row r="2056" spans="28:31">
      <c r="AB2056" s="1227"/>
      <c r="AC2056" s="1227"/>
      <c r="AD2056" s="1227"/>
      <c r="AE2056" s="1227"/>
    </row>
    <row r="2057" spans="28:31">
      <c r="AB2057" s="1227"/>
      <c r="AC2057" s="1227"/>
      <c r="AD2057" s="1227"/>
      <c r="AE2057" s="1227"/>
    </row>
    <row r="2058" spans="28:31">
      <c r="AB2058" s="1227"/>
      <c r="AC2058" s="1227"/>
      <c r="AD2058" s="1227"/>
      <c r="AE2058" s="1227"/>
    </row>
    <row r="2059" spans="28:31">
      <c r="AB2059" s="1227"/>
      <c r="AC2059" s="1227"/>
      <c r="AD2059" s="1227"/>
      <c r="AE2059" s="1227"/>
    </row>
    <row r="2060" spans="28:31">
      <c r="AB2060" s="1227"/>
      <c r="AC2060" s="1227"/>
      <c r="AD2060" s="1227"/>
      <c r="AE2060" s="1227"/>
    </row>
    <row r="2061" spans="28:31">
      <c r="AB2061" s="1227"/>
      <c r="AC2061" s="1227"/>
      <c r="AD2061" s="1227"/>
      <c r="AE2061" s="1227"/>
    </row>
    <row r="2062" spans="28:31">
      <c r="AB2062" s="1227"/>
      <c r="AC2062" s="1227"/>
      <c r="AD2062" s="1227"/>
      <c r="AE2062" s="1227"/>
    </row>
    <row r="2063" spans="28:31">
      <c r="AB2063" s="1227"/>
      <c r="AC2063" s="1227"/>
      <c r="AD2063" s="1227"/>
      <c r="AE2063" s="1227"/>
    </row>
    <row r="2064" spans="28:31">
      <c r="AB2064" s="1227"/>
      <c r="AC2064" s="1227"/>
      <c r="AD2064" s="1227"/>
      <c r="AE2064" s="1227"/>
    </row>
    <row r="2065" spans="28:31">
      <c r="AB2065" s="1227"/>
      <c r="AC2065" s="1227"/>
      <c r="AD2065" s="1227"/>
      <c r="AE2065" s="1227"/>
    </row>
    <row r="2066" spans="28:31">
      <c r="AB2066" s="1227"/>
      <c r="AC2066" s="1227"/>
      <c r="AD2066" s="1227"/>
      <c r="AE2066" s="1227"/>
    </row>
    <row r="2067" spans="28:31">
      <c r="AB2067" s="1227"/>
      <c r="AC2067" s="1227"/>
      <c r="AD2067" s="1227"/>
      <c r="AE2067" s="1227"/>
    </row>
    <row r="2068" spans="28:31">
      <c r="AB2068" s="1227"/>
      <c r="AC2068" s="1227"/>
      <c r="AD2068" s="1227"/>
      <c r="AE2068" s="1227"/>
    </row>
    <row r="2069" spans="28:31">
      <c r="AB2069" s="1227"/>
      <c r="AC2069" s="1227"/>
      <c r="AD2069" s="1227"/>
      <c r="AE2069" s="1227"/>
    </row>
    <row r="2070" spans="28:31">
      <c r="AB2070" s="1227"/>
      <c r="AC2070" s="1227"/>
      <c r="AD2070" s="1227"/>
      <c r="AE2070" s="1227"/>
    </row>
    <row r="2071" spans="28:31">
      <c r="AB2071" s="1227"/>
      <c r="AC2071" s="1227"/>
      <c r="AD2071" s="1227"/>
      <c r="AE2071" s="1227"/>
    </row>
    <row r="2072" spans="28:31">
      <c r="AB2072" s="1227"/>
      <c r="AC2072" s="1227"/>
      <c r="AD2072" s="1227"/>
      <c r="AE2072" s="1227"/>
    </row>
    <row r="2073" spans="28:31">
      <c r="AB2073" s="1227"/>
      <c r="AC2073" s="1227"/>
      <c r="AD2073" s="1227"/>
      <c r="AE2073" s="1227"/>
    </row>
    <row r="2074" spans="28:31">
      <c r="AB2074" s="1227"/>
      <c r="AC2074" s="1227"/>
      <c r="AD2074" s="1227"/>
      <c r="AE2074" s="1227"/>
    </row>
    <row r="2075" spans="28:31">
      <c r="AB2075" s="1227"/>
      <c r="AC2075" s="1227"/>
      <c r="AD2075" s="1227"/>
      <c r="AE2075" s="1227"/>
    </row>
    <row r="2076" spans="28:31">
      <c r="AB2076" s="1227"/>
      <c r="AC2076" s="1227"/>
      <c r="AD2076" s="1227"/>
      <c r="AE2076" s="1227"/>
    </row>
    <row r="2077" spans="28:31">
      <c r="AB2077" s="1227"/>
      <c r="AC2077" s="1227"/>
      <c r="AD2077" s="1227"/>
      <c r="AE2077" s="1227"/>
    </row>
    <row r="2078" spans="28:31">
      <c r="AB2078" s="1227"/>
      <c r="AC2078" s="1227"/>
      <c r="AD2078" s="1227"/>
      <c r="AE2078" s="1227"/>
    </row>
    <row r="2079" spans="28:31">
      <c r="AB2079" s="1227"/>
      <c r="AC2079" s="1227"/>
      <c r="AD2079" s="1227"/>
      <c r="AE2079" s="1227"/>
    </row>
    <row r="2080" spans="28:31">
      <c r="AB2080" s="1227"/>
      <c r="AC2080" s="1227"/>
      <c r="AD2080" s="1227"/>
      <c r="AE2080" s="1227"/>
    </row>
    <row r="2081" spans="28:31">
      <c r="AB2081" s="1227"/>
      <c r="AC2081" s="1227"/>
      <c r="AD2081" s="1227"/>
      <c r="AE2081" s="1227"/>
    </row>
    <row r="2082" spans="28:31">
      <c r="AB2082" s="1227"/>
      <c r="AC2082" s="1227"/>
      <c r="AD2082" s="1227"/>
      <c r="AE2082" s="1227"/>
    </row>
    <row r="2083" spans="28:31">
      <c r="AB2083" s="1227"/>
      <c r="AC2083" s="1227"/>
      <c r="AD2083" s="1227"/>
      <c r="AE2083" s="1227"/>
    </row>
    <row r="2084" spans="28:31">
      <c r="AB2084" s="1227"/>
      <c r="AC2084" s="1227"/>
      <c r="AD2084" s="1227"/>
      <c r="AE2084" s="1227"/>
    </row>
    <row r="2085" spans="28:31">
      <c r="AB2085" s="1227"/>
      <c r="AC2085" s="1227"/>
      <c r="AD2085" s="1227"/>
      <c r="AE2085" s="1227"/>
    </row>
    <row r="2086" spans="28:31">
      <c r="AB2086" s="1227"/>
      <c r="AC2086" s="1227"/>
      <c r="AD2086" s="1227"/>
      <c r="AE2086" s="1227"/>
    </row>
    <row r="2087" spans="28:31">
      <c r="AB2087" s="1227"/>
      <c r="AC2087" s="1227"/>
      <c r="AD2087" s="1227"/>
      <c r="AE2087" s="1227"/>
    </row>
    <row r="2088" spans="28:31">
      <c r="AB2088" s="1227"/>
      <c r="AC2088" s="1227"/>
      <c r="AD2088" s="1227"/>
      <c r="AE2088" s="1227"/>
    </row>
    <row r="2089" spans="28:31">
      <c r="AB2089" s="1227"/>
      <c r="AC2089" s="1227"/>
      <c r="AD2089" s="1227"/>
      <c r="AE2089" s="1227"/>
    </row>
    <row r="2090" spans="28:31">
      <c r="AB2090" s="1227"/>
      <c r="AC2090" s="1227"/>
      <c r="AD2090" s="1227"/>
      <c r="AE2090" s="1227"/>
    </row>
    <row r="2091" spans="28:31">
      <c r="AB2091" s="1227"/>
      <c r="AC2091" s="1227"/>
      <c r="AD2091" s="1227"/>
      <c r="AE2091" s="1227"/>
    </row>
    <row r="2092" spans="28:31">
      <c r="AB2092" s="1227"/>
      <c r="AC2092" s="1227"/>
      <c r="AD2092" s="1227"/>
      <c r="AE2092" s="1227"/>
    </row>
    <row r="2093" spans="28:31">
      <c r="AB2093" s="1227"/>
      <c r="AC2093" s="1227"/>
      <c r="AD2093" s="1227"/>
      <c r="AE2093" s="1227"/>
    </row>
    <row r="2094" spans="28:31">
      <c r="AB2094" s="1227"/>
      <c r="AC2094" s="1227"/>
      <c r="AD2094" s="1227"/>
      <c r="AE2094" s="1227"/>
    </row>
    <row r="2095" spans="28:31">
      <c r="AB2095" s="1227"/>
      <c r="AC2095" s="1227"/>
      <c r="AD2095" s="1227"/>
      <c r="AE2095" s="1227"/>
    </row>
    <row r="2096" spans="28:31">
      <c r="AB2096" s="1227"/>
      <c r="AC2096" s="1227"/>
      <c r="AD2096" s="1227"/>
      <c r="AE2096" s="1227"/>
    </row>
    <row r="2097" spans="28:31">
      <c r="AB2097" s="1227"/>
      <c r="AC2097" s="1227"/>
      <c r="AD2097" s="1227"/>
      <c r="AE2097" s="1227"/>
    </row>
    <row r="2098" spans="28:31">
      <c r="AB2098" s="1227"/>
      <c r="AC2098" s="1227"/>
      <c r="AD2098" s="1227"/>
      <c r="AE2098" s="1227"/>
    </row>
    <row r="2099" spans="28:31">
      <c r="AB2099" s="1227"/>
      <c r="AC2099" s="1227"/>
      <c r="AD2099" s="1227"/>
      <c r="AE2099" s="1227"/>
    </row>
    <row r="2100" spans="28:31">
      <c r="AB2100" s="1227"/>
      <c r="AC2100" s="1227"/>
      <c r="AD2100" s="1227"/>
      <c r="AE2100" s="1227"/>
    </row>
    <row r="2101" spans="28:31">
      <c r="AB2101" s="1227"/>
      <c r="AC2101" s="1227"/>
      <c r="AD2101" s="1227"/>
      <c r="AE2101" s="1227"/>
    </row>
    <row r="2102" spans="28:31">
      <c r="AB2102" s="1227"/>
      <c r="AC2102" s="1227"/>
      <c r="AD2102" s="1227"/>
      <c r="AE2102" s="1227"/>
    </row>
    <row r="2103" spans="28:31">
      <c r="AB2103" s="1227"/>
      <c r="AC2103" s="1227"/>
      <c r="AD2103" s="1227"/>
      <c r="AE2103" s="1227"/>
    </row>
    <row r="2104" spans="28:31">
      <c r="AB2104" s="1227"/>
      <c r="AC2104" s="1227"/>
      <c r="AD2104" s="1227"/>
      <c r="AE2104" s="1227"/>
    </row>
    <row r="2105" spans="28:31">
      <c r="AB2105" s="1227"/>
      <c r="AC2105" s="1227"/>
      <c r="AD2105" s="1227"/>
      <c r="AE2105" s="1227"/>
    </row>
    <row r="2106" spans="28:31">
      <c r="AB2106" s="1227"/>
      <c r="AC2106" s="1227"/>
      <c r="AD2106" s="1227"/>
      <c r="AE2106" s="1227"/>
    </row>
    <row r="2107" spans="28:31">
      <c r="AB2107" s="1227"/>
      <c r="AC2107" s="1227"/>
      <c r="AD2107" s="1227"/>
      <c r="AE2107" s="1227"/>
    </row>
    <row r="2108" spans="28:31">
      <c r="AB2108" s="1227"/>
      <c r="AC2108" s="1227"/>
      <c r="AD2108" s="1227"/>
      <c r="AE2108" s="1227"/>
    </row>
    <row r="2109" spans="28:31">
      <c r="AB2109" s="1227"/>
      <c r="AC2109" s="1227"/>
      <c r="AD2109" s="1227"/>
      <c r="AE2109" s="1227"/>
    </row>
    <row r="2110" spans="28:31">
      <c r="AB2110" s="1227"/>
      <c r="AC2110" s="1227"/>
      <c r="AD2110" s="1227"/>
      <c r="AE2110" s="1227"/>
    </row>
    <row r="2111" spans="28:31">
      <c r="AB2111" s="1227"/>
      <c r="AC2111" s="1227"/>
      <c r="AD2111" s="1227"/>
      <c r="AE2111" s="1227"/>
    </row>
    <row r="2112" spans="28:31">
      <c r="AB2112" s="1227"/>
      <c r="AC2112" s="1227"/>
      <c r="AD2112" s="1227"/>
      <c r="AE2112" s="1227"/>
    </row>
    <row r="2113" spans="28:31">
      <c r="AB2113" s="1227"/>
      <c r="AC2113" s="1227"/>
      <c r="AD2113" s="1227"/>
      <c r="AE2113" s="1227"/>
    </row>
    <row r="2114" spans="28:31">
      <c r="AB2114" s="1227"/>
      <c r="AC2114" s="1227"/>
      <c r="AD2114" s="1227"/>
      <c r="AE2114" s="1227"/>
    </row>
    <row r="2115" spans="28:31">
      <c r="AB2115" s="1227"/>
      <c r="AC2115" s="1227"/>
      <c r="AD2115" s="1227"/>
      <c r="AE2115" s="1227"/>
    </row>
    <row r="2116" spans="28:31">
      <c r="AB2116" s="1227"/>
      <c r="AC2116" s="1227"/>
      <c r="AD2116" s="1227"/>
      <c r="AE2116" s="1227"/>
    </row>
    <row r="2117" spans="28:31">
      <c r="AB2117" s="1227"/>
      <c r="AC2117" s="1227"/>
      <c r="AD2117" s="1227"/>
      <c r="AE2117" s="1227"/>
    </row>
    <row r="2118" spans="28:31">
      <c r="AB2118" s="1227"/>
      <c r="AC2118" s="1227"/>
      <c r="AD2118" s="1227"/>
      <c r="AE2118" s="1227"/>
    </row>
    <row r="2119" spans="28:31">
      <c r="AB2119" s="1227"/>
      <c r="AC2119" s="1227"/>
      <c r="AD2119" s="1227"/>
      <c r="AE2119" s="1227"/>
    </row>
    <row r="2120" spans="28:31">
      <c r="AB2120" s="1227"/>
      <c r="AC2120" s="1227"/>
      <c r="AD2120" s="1227"/>
      <c r="AE2120" s="1227"/>
    </row>
    <row r="2121" spans="28:31">
      <c r="AB2121" s="1227"/>
      <c r="AC2121" s="1227"/>
      <c r="AD2121" s="1227"/>
      <c r="AE2121" s="1227"/>
    </row>
    <row r="2122" spans="28:31">
      <c r="AB2122" s="1227"/>
      <c r="AC2122" s="1227"/>
      <c r="AD2122" s="1227"/>
      <c r="AE2122" s="1227"/>
    </row>
    <row r="2123" spans="28:31">
      <c r="AB2123" s="1227"/>
      <c r="AC2123" s="1227"/>
      <c r="AD2123" s="1227"/>
      <c r="AE2123" s="1227"/>
    </row>
    <row r="2124" spans="28:31">
      <c r="AB2124" s="1227"/>
      <c r="AC2124" s="1227"/>
      <c r="AD2124" s="1227"/>
      <c r="AE2124" s="1227"/>
    </row>
    <row r="2125" spans="28:31">
      <c r="AB2125" s="1227"/>
      <c r="AC2125" s="1227"/>
      <c r="AD2125" s="1227"/>
      <c r="AE2125" s="1227"/>
    </row>
    <row r="2126" spans="28:31">
      <c r="AB2126" s="1227"/>
      <c r="AC2126" s="1227"/>
      <c r="AD2126" s="1227"/>
      <c r="AE2126" s="1227"/>
    </row>
    <row r="2127" spans="28:31">
      <c r="AB2127" s="1227"/>
      <c r="AC2127" s="1227"/>
      <c r="AD2127" s="1227"/>
      <c r="AE2127" s="1227"/>
    </row>
    <row r="2128" spans="28:31">
      <c r="AB2128" s="1227"/>
      <c r="AC2128" s="1227"/>
      <c r="AD2128" s="1227"/>
      <c r="AE2128" s="1227"/>
    </row>
    <row r="2129" spans="28:31">
      <c r="AB2129" s="1227"/>
      <c r="AC2129" s="1227"/>
      <c r="AD2129" s="1227"/>
      <c r="AE2129" s="1227"/>
    </row>
    <row r="2130" spans="28:31">
      <c r="AB2130" s="1227"/>
      <c r="AC2130" s="1227"/>
      <c r="AD2130" s="1227"/>
      <c r="AE2130" s="1227"/>
    </row>
    <row r="2131" spans="28:31">
      <c r="AB2131" s="1227"/>
      <c r="AC2131" s="1227"/>
      <c r="AD2131" s="1227"/>
      <c r="AE2131" s="1227"/>
    </row>
    <row r="2132" spans="28:31">
      <c r="AB2132" s="1227"/>
      <c r="AC2132" s="1227"/>
      <c r="AD2132" s="1227"/>
      <c r="AE2132" s="1227"/>
    </row>
    <row r="2133" spans="28:31">
      <c r="AB2133" s="1227"/>
      <c r="AC2133" s="1227"/>
      <c r="AD2133" s="1227"/>
      <c r="AE2133" s="1227"/>
    </row>
    <row r="2134" spans="28:31">
      <c r="AB2134" s="1227"/>
      <c r="AC2134" s="1227"/>
      <c r="AD2134" s="1227"/>
      <c r="AE2134" s="1227"/>
    </row>
    <row r="2135" spans="28:31">
      <c r="AB2135" s="1227"/>
      <c r="AC2135" s="1227"/>
      <c r="AD2135" s="1227"/>
      <c r="AE2135" s="1227"/>
    </row>
    <row r="2136" spans="28:31">
      <c r="AB2136" s="1227"/>
      <c r="AC2136" s="1227"/>
      <c r="AD2136" s="1227"/>
      <c r="AE2136" s="1227"/>
    </row>
    <row r="2137" spans="28:31">
      <c r="AB2137" s="1227"/>
      <c r="AC2137" s="1227"/>
      <c r="AD2137" s="1227"/>
      <c r="AE2137" s="1227"/>
    </row>
    <row r="2138" spans="28:31">
      <c r="AB2138" s="1227"/>
      <c r="AC2138" s="1227"/>
      <c r="AD2138" s="1227"/>
      <c r="AE2138" s="1227"/>
    </row>
    <row r="2139" spans="28:31">
      <c r="AB2139" s="1227"/>
      <c r="AC2139" s="1227"/>
      <c r="AD2139" s="1227"/>
      <c r="AE2139" s="1227"/>
    </row>
    <row r="2140" spans="28:31">
      <c r="AB2140" s="1227"/>
      <c r="AC2140" s="1227"/>
      <c r="AD2140" s="1227"/>
      <c r="AE2140" s="1227"/>
    </row>
    <row r="2141" spans="28:31">
      <c r="AB2141" s="1227"/>
      <c r="AC2141" s="1227"/>
      <c r="AD2141" s="1227"/>
      <c r="AE2141" s="1227"/>
    </row>
    <row r="2142" spans="28:31">
      <c r="AB2142" s="1227"/>
      <c r="AC2142" s="1227"/>
      <c r="AD2142" s="1227"/>
      <c r="AE2142" s="1227"/>
    </row>
    <row r="2143" spans="28:31">
      <c r="AB2143" s="1227"/>
      <c r="AC2143" s="1227"/>
      <c r="AD2143" s="1227"/>
      <c r="AE2143" s="1227"/>
    </row>
    <row r="2144" spans="28:31">
      <c r="AB2144" s="1227"/>
      <c r="AC2144" s="1227"/>
      <c r="AD2144" s="1227"/>
      <c r="AE2144" s="1227"/>
    </row>
    <row r="2145" spans="28:31">
      <c r="AB2145" s="1227"/>
      <c r="AC2145" s="1227"/>
      <c r="AD2145" s="1227"/>
      <c r="AE2145" s="1227"/>
    </row>
    <row r="2146" spans="28:31">
      <c r="AB2146" s="1227"/>
      <c r="AC2146" s="1227"/>
      <c r="AD2146" s="1227"/>
      <c r="AE2146" s="1227"/>
    </row>
    <row r="2147" spans="28:31">
      <c r="AB2147" s="1227"/>
      <c r="AC2147" s="1227"/>
      <c r="AD2147" s="1227"/>
      <c r="AE2147" s="1227"/>
    </row>
    <row r="2148" spans="28:31">
      <c r="AB2148" s="1227"/>
      <c r="AC2148" s="1227"/>
      <c r="AD2148" s="1227"/>
      <c r="AE2148" s="1227"/>
    </row>
    <row r="2149" spans="28:31">
      <c r="AB2149" s="1227"/>
      <c r="AC2149" s="1227"/>
      <c r="AD2149" s="1227"/>
      <c r="AE2149" s="1227"/>
    </row>
    <row r="2150" spans="28:31">
      <c r="AB2150" s="1227"/>
      <c r="AC2150" s="1227"/>
      <c r="AD2150" s="1227"/>
      <c r="AE2150" s="1227"/>
    </row>
    <row r="2151" spans="28:31">
      <c r="AB2151" s="1227"/>
      <c r="AC2151" s="1227"/>
      <c r="AD2151" s="1227"/>
      <c r="AE2151" s="1227"/>
    </row>
    <row r="2152" spans="28:31">
      <c r="AB2152" s="1227"/>
      <c r="AC2152" s="1227"/>
      <c r="AD2152" s="1227"/>
      <c r="AE2152" s="1227"/>
    </row>
    <row r="2153" spans="28:31">
      <c r="AB2153" s="1227"/>
      <c r="AC2153" s="1227"/>
      <c r="AD2153" s="1227"/>
      <c r="AE2153" s="1227"/>
    </row>
    <row r="2154" spans="28:31">
      <c r="AB2154" s="1227"/>
      <c r="AC2154" s="1227"/>
      <c r="AD2154" s="1227"/>
      <c r="AE2154" s="1227"/>
    </row>
    <row r="2155" spans="28:31">
      <c r="AB2155" s="1227"/>
      <c r="AC2155" s="1227"/>
      <c r="AD2155" s="1227"/>
      <c r="AE2155" s="1227"/>
    </row>
    <row r="2156" spans="28:31">
      <c r="AB2156" s="1227"/>
      <c r="AC2156" s="1227"/>
      <c r="AD2156" s="1227"/>
      <c r="AE2156" s="1227"/>
    </row>
    <row r="2157" spans="28:31">
      <c r="AB2157" s="1227"/>
      <c r="AC2157" s="1227"/>
      <c r="AD2157" s="1227"/>
      <c r="AE2157" s="1227"/>
    </row>
    <row r="2158" spans="28:31">
      <c r="AB2158" s="1227"/>
      <c r="AC2158" s="1227"/>
      <c r="AD2158" s="1227"/>
      <c r="AE2158" s="1227"/>
    </row>
    <row r="2159" spans="28:31">
      <c r="AB2159" s="1227"/>
      <c r="AC2159" s="1227"/>
      <c r="AD2159" s="1227"/>
      <c r="AE2159" s="1227"/>
    </row>
    <row r="2160" spans="28:31">
      <c r="AB2160" s="1227"/>
      <c r="AC2160" s="1227"/>
      <c r="AD2160" s="1227"/>
      <c r="AE2160" s="1227"/>
    </row>
    <row r="2161" spans="28:31">
      <c r="AB2161" s="1227"/>
      <c r="AC2161" s="1227"/>
      <c r="AD2161" s="1227"/>
      <c r="AE2161" s="1227"/>
    </row>
    <row r="2162" spans="28:31">
      <c r="AB2162" s="1227"/>
      <c r="AC2162" s="1227"/>
      <c r="AD2162" s="1227"/>
      <c r="AE2162" s="1227"/>
    </row>
    <row r="2163" spans="28:31">
      <c r="AB2163" s="1227"/>
      <c r="AC2163" s="1227"/>
      <c r="AD2163" s="1227"/>
      <c r="AE2163" s="1227"/>
    </row>
    <row r="2164" spans="28:31">
      <c r="AB2164" s="1227"/>
      <c r="AC2164" s="1227"/>
      <c r="AD2164" s="1227"/>
      <c r="AE2164" s="1227"/>
    </row>
    <row r="2165" spans="28:31">
      <c r="AB2165" s="1227"/>
      <c r="AC2165" s="1227"/>
      <c r="AD2165" s="1227"/>
      <c r="AE2165" s="1227"/>
    </row>
    <row r="2166" spans="28:31">
      <c r="AB2166" s="1227"/>
      <c r="AC2166" s="1227"/>
      <c r="AD2166" s="1227"/>
      <c r="AE2166" s="1227"/>
    </row>
    <row r="2167" spans="28:31">
      <c r="AB2167" s="1227"/>
      <c r="AC2167" s="1227"/>
      <c r="AD2167" s="1227"/>
      <c r="AE2167" s="1227"/>
    </row>
    <row r="2168" spans="28:31">
      <c r="AB2168" s="1227"/>
      <c r="AC2168" s="1227"/>
      <c r="AD2168" s="1227"/>
      <c r="AE2168" s="1227"/>
    </row>
    <row r="2169" spans="28:31">
      <c r="AB2169" s="1227"/>
      <c r="AC2169" s="1227"/>
      <c r="AD2169" s="1227"/>
      <c r="AE2169" s="1227"/>
    </row>
    <row r="2170" spans="28:31">
      <c r="AB2170" s="1227"/>
      <c r="AC2170" s="1227"/>
      <c r="AD2170" s="1227"/>
      <c r="AE2170" s="1227"/>
    </row>
    <row r="2171" spans="28:31">
      <c r="AB2171" s="1227"/>
      <c r="AC2171" s="1227"/>
      <c r="AD2171" s="1227"/>
      <c r="AE2171" s="1227"/>
    </row>
    <row r="2172" spans="28:31">
      <c r="AB2172" s="1227"/>
      <c r="AC2172" s="1227"/>
      <c r="AD2172" s="1227"/>
      <c r="AE2172" s="1227"/>
    </row>
    <row r="2173" spans="28:31">
      <c r="AB2173" s="1227"/>
      <c r="AC2173" s="1227"/>
      <c r="AD2173" s="1227"/>
      <c r="AE2173" s="1227"/>
    </row>
    <row r="2174" spans="28:31">
      <c r="AB2174" s="1227"/>
      <c r="AC2174" s="1227"/>
      <c r="AD2174" s="1227"/>
      <c r="AE2174" s="1227"/>
    </row>
    <row r="2175" spans="28:31">
      <c r="AB2175" s="1227"/>
      <c r="AC2175" s="1227"/>
      <c r="AD2175" s="1227"/>
      <c r="AE2175" s="1227"/>
    </row>
    <row r="2176" spans="28:31">
      <c r="AB2176" s="1227"/>
      <c r="AC2176" s="1227"/>
      <c r="AD2176" s="1227"/>
      <c r="AE2176" s="1227"/>
    </row>
    <row r="2177" spans="28:31">
      <c r="AB2177" s="1227"/>
      <c r="AC2177" s="1227"/>
      <c r="AD2177" s="1227"/>
      <c r="AE2177" s="1227"/>
    </row>
    <row r="2178" spans="28:31">
      <c r="AB2178" s="1227"/>
      <c r="AC2178" s="1227"/>
      <c r="AD2178" s="1227"/>
      <c r="AE2178" s="1227"/>
    </row>
    <row r="2179" spans="28:31">
      <c r="AB2179" s="1227"/>
      <c r="AC2179" s="1227"/>
      <c r="AD2179" s="1227"/>
      <c r="AE2179" s="1227"/>
    </row>
    <row r="2180" spans="28:31">
      <c r="AB2180" s="1227"/>
      <c r="AC2180" s="1227"/>
      <c r="AD2180" s="1227"/>
      <c r="AE2180" s="1227"/>
    </row>
    <row r="2181" spans="28:31">
      <c r="AB2181" s="1227"/>
      <c r="AC2181" s="1227"/>
      <c r="AD2181" s="1227"/>
      <c r="AE2181" s="1227"/>
    </row>
    <row r="2182" spans="28:31">
      <c r="AB2182" s="1227"/>
      <c r="AC2182" s="1227"/>
      <c r="AD2182" s="1227"/>
      <c r="AE2182" s="1227"/>
    </row>
    <row r="2183" spans="28:31">
      <c r="AB2183" s="1227"/>
      <c r="AC2183" s="1227"/>
      <c r="AD2183" s="1227"/>
      <c r="AE2183" s="1227"/>
    </row>
    <row r="2184" spans="28:31">
      <c r="AB2184" s="1227"/>
      <c r="AC2184" s="1227"/>
      <c r="AD2184" s="1227"/>
      <c r="AE2184" s="1227"/>
    </row>
    <row r="2185" spans="28:31">
      <c r="AB2185" s="1227"/>
      <c r="AC2185" s="1227"/>
      <c r="AD2185" s="1227"/>
      <c r="AE2185" s="1227"/>
    </row>
    <row r="2186" spans="28:31">
      <c r="AB2186" s="1227"/>
      <c r="AC2186" s="1227"/>
      <c r="AD2186" s="1227"/>
      <c r="AE2186" s="1227"/>
    </row>
    <row r="2187" spans="28:31">
      <c r="AB2187" s="1227"/>
      <c r="AC2187" s="1227"/>
      <c r="AD2187" s="1227"/>
      <c r="AE2187" s="1227"/>
    </row>
    <row r="2188" spans="28:31">
      <c r="AB2188" s="1227"/>
      <c r="AC2188" s="1227"/>
      <c r="AD2188" s="1227"/>
      <c r="AE2188" s="1227"/>
    </row>
    <row r="2189" spans="28:31">
      <c r="AB2189" s="1227"/>
      <c r="AC2189" s="1227"/>
      <c r="AD2189" s="1227"/>
      <c r="AE2189" s="1227"/>
    </row>
    <row r="2190" spans="28:31">
      <c r="AB2190" s="1227"/>
      <c r="AC2190" s="1227"/>
      <c r="AD2190" s="1227"/>
      <c r="AE2190" s="1227"/>
    </row>
    <row r="2191" spans="28:31">
      <c r="AB2191" s="1227"/>
      <c r="AC2191" s="1227"/>
      <c r="AD2191" s="1227"/>
      <c r="AE2191" s="1227"/>
    </row>
    <row r="2192" spans="28:31">
      <c r="AB2192" s="1227"/>
      <c r="AC2192" s="1227"/>
      <c r="AD2192" s="1227"/>
      <c r="AE2192" s="1227"/>
    </row>
    <row r="2193" spans="28:31">
      <c r="AB2193" s="1227"/>
      <c r="AC2193" s="1227"/>
      <c r="AD2193" s="1227"/>
      <c r="AE2193" s="1227"/>
    </row>
    <row r="2194" spans="28:31">
      <c r="AB2194" s="1227"/>
      <c r="AC2194" s="1227"/>
      <c r="AD2194" s="1227"/>
      <c r="AE2194" s="1227"/>
    </row>
    <row r="2195" spans="28:31">
      <c r="AB2195" s="1227"/>
      <c r="AC2195" s="1227"/>
      <c r="AD2195" s="1227"/>
      <c r="AE2195" s="1227"/>
    </row>
    <row r="2196" spans="28:31">
      <c r="AB2196" s="1227"/>
      <c r="AC2196" s="1227"/>
      <c r="AD2196" s="1227"/>
      <c r="AE2196" s="1227"/>
    </row>
    <row r="2197" spans="28:31">
      <c r="AB2197" s="1227"/>
      <c r="AC2197" s="1227"/>
      <c r="AD2197" s="1227"/>
      <c r="AE2197" s="1227"/>
    </row>
    <row r="2198" spans="28:31">
      <c r="AB2198" s="1227"/>
      <c r="AC2198" s="1227"/>
      <c r="AD2198" s="1227"/>
      <c r="AE2198" s="1227"/>
    </row>
    <row r="2199" spans="28:31">
      <c r="AB2199" s="1227"/>
      <c r="AC2199" s="1227"/>
      <c r="AD2199" s="1227"/>
      <c r="AE2199" s="1227"/>
    </row>
    <row r="2200" spans="28:31">
      <c r="AB2200" s="1227"/>
      <c r="AC2200" s="1227"/>
      <c r="AD2200" s="1227"/>
      <c r="AE2200" s="1227"/>
    </row>
    <row r="2201" spans="28:31">
      <c r="AB2201" s="1227"/>
      <c r="AC2201" s="1227"/>
      <c r="AD2201" s="1227"/>
      <c r="AE2201" s="1227"/>
    </row>
    <row r="2202" spans="28:31">
      <c r="AB2202" s="1227"/>
      <c r="AC2202" s="1227"/>
      <c r="AD2202" s="1227"/>
      <c r="AE2202" s="1227"/>
    </row>
    <row r="2203" spans="28:31">
      <c r="AB2203" s="1227"/>
      <c r="AC2203" s="1227"/>
      <c r="AD2203" s="1227"/>
      <c r="AE2203" s="1227"/>
    </row>
    <row r="2204" spans="28:31">
      <c r="AB2204" s="1227"/>
      <c r="AC2204" s="1227"/>
      <c r="AD2204" s="1227"/>
      <c r="AE2204" s="1227"/>
    </row>
    <row r="2205" spans="28:31">
      <c r="AB2205" s="1227"/>
      <c r="AC2205" s="1227"/>
      <c r="AD2205" s="1227"/>
      <c r="AE2205" s="1227"/>
    </row>
    <row r="2206" spans="28:31">
      <c r="AB2206" s="1227"/>
      <c r="AC2206" s="1227"/>
      <c r="AD2206" s="1227"/>
      <c r="AE2206" s="1227"/>
    </row>
    <row r="2207" spans="28:31">
      <c r="AB2207" s="1227"/>
      <c r="AC2207" s="1227"/>
      <c r="AD2207" s="1227"/>
      <c r="AE2207" s="1227"/>
    </row>
    <row r="2208" spans="28:31">
      <c r="AB2208" s="1227"/>
      <c r="AC2208" s="1227"/>
      <c r="AD2208" s="1227"/>
      <c r="AE2208" s="1227"/>
    </row>
    <row r="2209" spans="28:31">
      <c r="AB2209" s="1227"/>
      <c r="AC2209" s="1227"/>
      <c r="AD2209" s="1227"/>
      <c r="AE2209" s="1227"/>
    </row>
    <row r="2210" spans="28:31">
      <c r="AB2210" s="1227"/>
      <c r="AC2210" s="1227"/>
      <c r="AD2210" s="1227"/>
      <c r="AE2210" s="1227"/>
    </row>
    <row r="2211" spans="28:31">
      <c r="AB2211" s="1227"/>
      <c r="AC2211" s="1227"/>
      <c r="AD2211" s="1227"/>
      <c r="AE2211" s="1227"/>
    </row>
    <row r="2212" spans="28:31">
      <c r="AB2212" s="1227"/>
      <c r="AC2212" s="1227"/>
      <c r="AD2212" s="1227"/>
      <c r="AE2212" s="1227"/>
    </row>
    <row r="2213" spans="28:31">
      <c r="AB2213" s="1227"/>
      <c r="AC2213" s="1227"/>
      <c r="AD2213" s="1227"/>
      <c r="AE2213" s="1227"/>
    </row>
    <row r="2214" spans="28:31">
      <c r="AB2214" s="1227"/>
      <c r="AC2214" s="1227"/>
      <c r="AD2214" s="1227"/>
      <c r="AE2214" s="1227"/>
    </row>
    <row r="2215" spans="28:31">
      <c r="AB2215" s="1227"/>
      <c r="AC2215" s="1227"/>
      <c r="AD2215" s="1227"/>
      <c r="AE2215" s="1227"/>
    </row>
    <row r="2216" spans="28:31">
      <c r="AB2216" s="1227"/>
      <c r="AC2216" s="1227"/>
      <c r="AD2216" s="1227"/>
      <c r="AE2216" s="1227"/>
    </row>
    <row r="2217" spans="28:31">
      <c r="AB2217" s="1227"/>
      <c r="AC2217" s="1227"/>
      <c r="AD2217" s="1227"/>
      <c r="AE2217" s="1227"/>
    </row>
    <row r="2218" spans="28:31">
      <c r="AB2218" s="1227"/>
      <c r="AC2218" s="1227"/>
      <c r="AD2218" s="1227"/>
      <c r="AE2218" s="1227"/>
    </row>
    <row r="2219" spans="28:31">
      <c r="AB2219" s="1227"/>
      <c r="AC2219" s="1227"/>
      <c r="AD2219" s="1227"/>
      <c r="AE2219" s="1227"/>
    </row>
    <row r="2220" spans="28:31">
      <c r="AB2220" s="1227"/>
      <c r="AC2220" s="1227"/>
      <c r="AD2220" s="1227"/>
      <c r="AE2220" s="1227"/>
    </row>
    <row r="2221" spans="28:31">
      <c r="AB2221" s="1227"/>
      <c r="AC2221" s="1227"/>
      <c r="AD2221" s="1227"/>
      <c r="AE2221" s="1227"/>
    </row>
    <row r="2222" spans="28:31">
      <c r="AB2222" s="1227"/>
      <c r="AC2222" s="1227"/>
      <c r="AD2222" s="1227"/>
      <c r="AE2222" s="1227"/>
    </row>
    <row r="2223" spans="28:31">
      <c r="AB2223" s="1227"/>
      <c r="AC2223" s="1227"/>
      <c r="AD2223" s="1227"/>
      <c r="AE2223" s="1227"/>
    </row>
    <row r="2224" spans="28:31">
      <c r="AB2224" s="1227"/>
      <c r="AC2224" s="1227"/>
      <c r="AD2224" s="1227"/>
      <c r="AE2224" s="1227"/>
    </row>
    <row r="2225" spans="28:31">
      <c r="AB2225" s="1227"/>
      <c r="AC2225" s="1227"/>
      <c r="AD2225" s="1227"/>
      <c r="AE2225" s="1227"/>
    </row>
    <row r="2226" spans="28:31">
      <c r="AB2226" s="1227"/>
      <c r="AC2226" s="1227"/>
      <c r="AD2226" s="1227"/>
      <c r="AE2226" s="1227"/>
    </row>
    <row r="2227" spans="28:31">
      <c r="AB2227" s="1227"/>
      <c r="AC2227" s="1227"/>
      <c r="AD2227" s="1227"/>
      <c r="AE2227" s="1227"/>
    </row>
    <row r="2228" spans="28:31">
      <c r="AB2228" s="1227"/>
      <c r="AC2228" s="1227"/>
      <c r="AD2228" s="1227"/>
      <c r="AE2228" s="1227"/>
    </row>
    <row r="2229" spans="28:31">
      <c r="AB2229" s="1227"/>
      <c r="AC2229" s="1227"/>
      <c r="AD2229" s="1227"/>
      <c r="AE2229" s="1227"/>
    </row>
    <row r="2230" spans="28:31">
      <c r="AB2230" s="1227"/>
      <c r="AC2230" s="1227"/>
      <c r="AD2230" s="1227"/>
      <c r="AE2230" s="1227"/>
    </row>
    <row r="2231" spans="28:31">
      <c r="AB2231" s="1227"/>
      <c r="AC2231" s="1227"/>
      <c r="AD2231" s="1227"/>
      <c r="AE2231" s="1227"/>
    </row>
    <row r="2232" spans="28:31">
      <c r="AB2232" s="1227"/>
      <c r="AC2232" s="1227"/>
      <c r="AD2232" s="1227"/>
      <c r="AE2232" s="1227"/>
    </row>
    <row r="2233" spans="28:31">
      <c r="AB2233" s="1227"/>
      <c r="AC2233" s="1227"/>
      <c r="AD2233" s="1227"/>
      <c r="AE2233" s="1227"/>
    </row>
    <row r="2234" spans="28:31">
      <c r="AB2234" s="1227"/>
      <c r="AC2234" s="1227"/>
      <c r="AD2234" s="1227"/>
      <c r="AE2234" s="1227"/>
    </row>
    <row r="2235" spans="28:31">
      <c r="AB2235" s="1227"/>
      <c r="AC2235" s="1227"/>
      <c r="AD2235" s="1227"/>
      <c r="AE2235" s="1227"/>
    </row>
    <row r="2236" spans="28:31">
      <c r="AB2236" s="1227"/>
      <c r="AC2236" s="1227"/>
      <c r="AD2236" s="1227"/>
      <c r="AE2236" s="1227"/>
    </row>
    <row r="2237" spans="28:31">
      <c r="AB2237" s="1227"/>
      <c r="AC2237" s="1227"/>
      <c r="AD2237" s="1227"/>
      <c r="AE2237" s="1227"/>
    </row>
    <row r="2238" spans="28:31">
      <c r="AB2238" s="1227"/>
      <c r="AC2238" s="1227"/>
      <c r="AD2238" s="1227"/>
      <c r="AE2238" s="1227"/>
    </row>
    <row r="2239" spans="28:31">
      <c r="AB2239" s="1227"/>
      <c r="AC2239" s="1227"/>
      <c r="AD2239" s="1227"/>
      <c r="AE2239" s="1227"/>
    </row>
    <row r="2240" spans="28:31">
      <c r="AB2240" s="1227"/>
      <c r="AC2240" s="1227"/>
      <c r="AD2240" s="1227"/>
      <c r="AE2240" s="1227"/>
    </row>
    <row r="2241" spans="28:31">
      <c r="AB2241" s="1227"/>
      <c r="AC2241" s="1227"/>
      <c r="AD2241" s="1227"/>
      <c r="AE2241" s="1227"/>
    </row>
    <row r="2242" spans="28:31">
      <c r="AB2242" s="1227"/>
      <c r="AC2242" s="1227"/>
      <c r="AD2242" s="1227"/>
      <c r="AE2242" s="1227"/>
    </row>
    <row r="2243" spans="28:31">
      <c r="AB2243" s="1227"/>
      <c r="AC2243" s="1227"/>
      <c r="AD2243" s="1227"/>
      <c r="AE2243" s="1227"/>
    </row>
    <row r="2244" spans="28:31">
      <c r="AB2244" s="1227"/>
      <c r="AC2244" s="1227"/>
      <c r="AD2244" s="1227"/>
      <c r="AE2244" s="1227"/>
    </row>
    <row r="2245" spans="28:31">
      <c r="AB2245" s="1227"/>
      <c r="AC2245" s="1227"/>
      <c r="AD2245" s="1227"/>
      <c r="AE2245" s="1227"/>
    </row>
    <row r="2246" spans="28:31">
      <c r="AB2246" s="1227"/>
      <c r="AC2246" s="1227"/>
      <c r="AD2246" s="1227"/>
      <c r="AE2246" s="1227"/>
    </row>
    <row r="2247" spans="28:31">
      <c r="AB2247" s="1227"/>
      <c r="AC2247" s="1227"/>
      <c r="AD2247" s="1227"/>
      <c r="AE2247" s="1227"/>
    </row>
    <row r="2248" spans="28:31">
      <c r="AB2248" s="1227"/>
      <c r="AC2248" s="1227"/>
      <c r="AD2248" s="1227"/>
      <c r="AE2248" s="1227"/>
    </row>
    <row r="2249" spans="28:31">
      <c r="AB2249" s="1227"/>
      <c r="AC2249" s="1227"/>
      <c r="AD2249" s="1227"/>
      <c r="AE2249" s="1227"/>
    </row>
    <row r="2250" spans="28:31">
      <c r="AB2250" s="1227"/>
      <c r="AC2250" s="1227"/>
      <c r="AD2250" s="1227"/>
      <c r="AE2250" s="1227"/>
    </row>
    <row r="2251" spans="28:31">
      <c r="AB2251" s="1227"/>
      <c r="AC2251" s="1227"/>
      <c r="AD2251" s="1227"/>
      <c r="AE2251" s="1227"/>
    </row>
    <row r="2252" spans="28:31">
      <c r="AB2252" s="1227"/>
      <c r="AC2252" s="1227"/>
      <c r="AD2252" s="1227"/>
      <c r="AE2252" s="1227"/>
    </row>
    <row r="2253" spans="28:31">
      <c r="AB2253" s="1227"/>
      <c r="AC2253" s="1227"/>
      <c r="AD2253" s="1227"/>
      <c r="AE2253" s="1227"/>
    </row>
    <row r="2254" spans="28:31">
      <c r="AB2254" s="1227"/>
      <c r="AC2254" s="1227"/>
      <c r="AD2254" s="1227"/>
      <c r="AE2254" s="1227"/>
    </row>
    <row r="2255" spans="28:31">
      <c r="AB2255" s="1227"/>
      <c r="AC2255" s="1227"/>
      <c r="AD2255" s="1227"/>
      <c r="AE2255" s="1227"/>
    </row>
    <row r="2256" spans="28:31">
      <c r="AB2256" s="1227"/>
      <c r="AC2256" s="1227"/>
      <c r="AD2256" s="1227"/>
      <c r="AE2256" s="1227"/>
    </row>
    <row r="2257" spans="28:31">
      <c r="AB2257" s="1227"/>
      <c r="AC2257" s="1227"/>
      <c r="AD2257" s="1227"/>
      <c r="AE2257" s="1227"/>
    </row>
    <row r="2258" spans="28:31">
      <c r="AB2258" s="1227"/>
      <c r="AC2258" s="1227"/>
      <c r="AD2258" s="1227"/>
      <c r="AE2258" s="1227"/>
    </row>
    <row r="2259" spans="28:31">
      <c r="AB2259" s="1227"/>
      <c r="AC2259" s="1227"/>
      <c r="AD2259" s="1227"/>
      <c r="AE2259" s="1227"/>
    </row>
    <row r="2260" spans="28:31">
      <c r="AB2260" s="1227"/>
      <c r="AC2260" s="1227"/>
      <c r="AD2260" s="1227"/>
      <c r="AE2260" s="1227"/>
    </row>
    <row r="2261" spans="28:31">
      <c r="AB2261" s="1227"/>
      <c r="AC2261" s="1227"/>
      <c r="AD2261" s="1227"/>
      <c r="AE2261" s="1227"/>
    </row>
    <row r="2262" spans="28:31">
      <c r="AB2262" s="1227"/>
      <c r="AC2262" s="1227"/>
      <c r="AD2262" s="1227"/>
      <c r="AE2262" s="1227"/>
    </row>
    <row r="2263" spans="28:31">
      <c r="AB2263" s="1227"/>
      <c r="AC2263" s="1227"/>
      <c r="AD2263" s="1227"/>
      <c r="AE2263" s="1227"/>
    </row>
    <row r="2264" spans="28:31">
      <c r="AB2264" s="1227"/>
      <c r="AC2264" s="1227"/>
      <c r="AD2264" s="1227"/>
      <c r="AE2264" s="1227"/>
    </row>
    <row r="2265" spans="28:31">
      <c r="AB2265" s="1227"/>
      <c r="AC2265" s="1227"/>
      <c r="AD2265" s="1227"/>
      <c r="AE2265" s="1227"/>
    </row>
    <row r="2266" spans="28:31">
      <c r="AB2266" s="1227"/>
      <c r="AC2266" s="1227"/>
      <c r="AD2266" s="1227"/>
      <c r="AE2266" s="1227"/>
    </row>
    <row r="2267" spans="28:31">
      <c r="AB2267" s="1227"/>
      <c r="AC2267" s="1227"/>
      <c r="AD2267" s="1227"/>
      <c r="AE2267" s="1227"/>
    </row>
    <row r="2268" spans="28:31">
      <c r="AB2268" s="1227"/>
      <c r="AC2268" s="1227"/>
      <c r="AD2268" s="1227"/>
      <c r="AE2268" s="1227"/>
    </row>
    <row r="2269" spans="28:31">
      <c r="AB2269" s="1227"/>
      <c r="AC2269" s="1227"/>
      <c r="AD2269" s="1227"/>
      <c r="AE2269" s="1227"/>
    </row>
    <row r="2270" spans="28:31">
      <c r="AB2270" s="1227"/>
      <c r="AC2270" s="1227"/>
      <c r="AD2270" s="1227"/>
      <c r="AE2270" s="1227"/>
    </row>
    <row r="2271" spans="28:31">
      <c r="AB2271" s="1227"/>
      <c r="AC2271" s="1227"/>
      <c r="AD2271" s="1227"/>
      <c r="AE2271" s="1227"/>
    </row>
    <row r="2272" spans="28:31">
      <c r="AB2272" s="1227"/>
      <c r="AC2272" s="1227"/>
      <c r="AD2272" s="1227"/>
      <c r="AE2272" s="1227"/>
    </row>
    <row r="2273" spans="28:31">
      <c r="AB2273" s="1227"/>
      <c r="AC2273" s="1227"/>
      <c r="AD2273" s="1227"/>
      <c r="AE2273" s="1227"/>
    </row>
    <row r="2274" spans="28:31">
      <c r="AB2274" s="1227"/>
      <c r="AC2274" s="1227"/>
      <c r="AD2274" s="1227"/>
      <c r="AE2274" s="1227"/>
    </row>
    <row r="2275" spans="28:31">
      <c r="AB2275" s="1227"/>
      <c r="AC2275" s="1227"/>
      <c r="AD2275" s="1227"/>
      <c r="AE2275" s="1227"/>
    </row>
    <row r="2276" spans="28:31">
      <c r="AB2276" s="1227"/>
      <c r="AC2276" s="1227"/>
      <c r="AD2276" s="1227"/>
      <c r="AE2276" s="1227"/>
    </row>
    <row r="2277" spans="28:31">
      <c r="AB2277" s="1227"/>
      <c r="AC2277" s="1227"/>
      <c r="AD2277" s="1227"/>
      <c r="AE2277" s="1227"/>
    </row>
    <row r="2278" spans="28:31">
      <c r="AB2278" s="1227"/>
      <c r="AC2278" s="1227"/>
      <c r="AD2278" s="1227"/>
      <c r="AE2278" s="1227"/>
    </row>
    <row r="2279" spans="28:31">
      <c r="AB2279" s="1227"/>
      <c r="AC2279" s="1227"/>
      <c r="AD2279" s="1227"/>
      <c r="AE2279" s="1227"/>
    </row>
    <row r="2280" spans="28:31">
      <c r="AB2280" s="1227"/>
      <c r="AC2280" s="1227"/>
      <c r="AD2280" s="1227"/>
      <c r="AE2280" s="1227"/>
    </row>
    <row r="2281" spans="28:31">
      <c r="AB2281" s="1227"/>
      <c r="AC2281" s="1227"/>
      <c r="AD2281" s="1227"/>
      <c r="AE2281" s="1227"/>
    </row>
    <row r="2282" spans="28:31">
      <c r="AB2282" s="1227"/>
      <c r="AC2282" s="1227"/>
      <c r="AD2282" s="1227"/>
      <c r="AE2282" s="1227"/>
    </row>
    <row r="2283" spans="28:31">
      <c r="AB2283" s="1227"/>
      <c r="AC2283" s="1227"/>
      <c r="AD2283" s="1227"/>
      <c r="AE2283" s="1227"/>
    </row>
    <row r="2284" spans="28:31">
      <c r="AB2284" s="1227"/>
      <c r="AC2284" s="1227"/>
      <c r="AD2284" s="1227"/>
      <c r="AE2284" s="1227"/>
    </row>
    <row r="2285" spans="28:31">
      <c r="AB2285" s="1227"/>
      <c r="AC2285" s="1227"/>
      <c r="AD2285" s="1227"/>
      <c r="AE2285" s="1227"/>
    </row>
    <row r="2286" spans="28:31">
      <c r="AB2286" s="1227"/>
      <c r="AC2286" s="1227"/>
      <c r="AD2286" s="1227"/>
      <c r="AE2286" s="1227"/>
    </row>
    <row r="2287" spans="28:31">
      <c r="AB2287" s="1227"/>
      <c r="AC2287" s="1227"/>
      <c r="AD2287" s="1227"/>
      <c r="AE2287" s="1227"/>
    </row>
    <row r="2288" spans="28:31">
      <c r="AB2288" s="1227"/>
      <c r="AC2288" s="1227"/>
      <c r="AD2288" s="1227"/>
      <c r="AE2288" s="1227"/>
    </row>
    <row r="2289" spans="28:31">
      <c r="AB2289" s="1227"/>
      <c r="AC2289" s="1227"/>
      <c r="AD2289" s="1227"/>
      <c r="AE2289" s="1227"/>
    </row>
    <row r="2290" spans="28:31">
      <c r="AB2290" s="1227"/>
      <c r="AC2290" s="1227"/>
      <c r="AD2290" s="1227"/>
      <c r="AE2290" s="1227"/>
    </row>
    <row r="2291" spans="28:31">
      <c r="AB2291" s="1227"/>
      <c r="AC2291" s="1227"/>
      <c r="AD2291" s="1227"/>
      <c r="AE2291" s="1227"/>
    </row>
    <row r="2292" spans="28:31">
      <c r="AB2292" s="1227"/>
      <c r="AC2292" s="1227"/>
      <c r="AD2292" s="1227"/>
      <c r="AE2292" s="1227"/>
    </row>
    <row r="2293" spans="28:31">
      <c r="AB2293" s="1227"/>
      <c r="AC2293" s="1227"/>
      <c r="AD2293" s="1227"/>
      <c r="AE2293" s="1227"/>
    </row>
    <row r="2294" spans="28:31">
      <c r="AB2294" s="1227"/>
      <c r="AC2294" s="1227"/>
      <c r="AD2294" s="1227"/>
      <c r="AE2294" s="1227"/>
    </row>
    <row r="2295" spans="28:31">
      <c r="AB2295" s="1227"/>
      <c r="AC2295" s="1227"/>
      <c r="AD2295" s="1227"/>
      <c r="AE2295" s="1227"/>
    </row>
    <row r="2296" spans="28:31">
      <c r="AB2296" s="1227"/>
      <c r="AC2296" s="1227"/>
      <c r="AD2296" s="1227"/>
      <c r="AE2296" s="1227"/>
    </row>
    <row r="2297" spans="28:31">
      <c r="AB2297" s="1227"/>
      <c r="AC2297" s="1227"/>
      <c r="AD2297" s="1227"/>
      <c r="AE2297" s="1227"/>
    </row>
    <row r="2298" spans="28:31">
      <c r="AB2298" s="1227"/>
      <c r="AC2298" s="1227"/>
      <c r="AD2298" s="1227"/>
      <c r="AE2298" s="1227"/>
    </row>
    <row r="2299" spans="28:31">
      <c r="AB2299" s="1227"/>
      <c r="AC2299" s="1227"/>
      <c r="AD2299" s="1227"/>
      <c r="AE2299" s="1227"/>
    </row>
    <row r="2300" spans="28:31">
      <c r="AB2300" s="1227"/>
      <c r="AC2300" s="1227"/>
      <c r="AD2300" s="1227"/>
      <c r="AE2300" s="1227"/>
    </row>
    <row r="2301" spans="28:31">
      <c r="AB2301" s="1227"/>
      <c r="AC2301" s="1227"/>
      <c r="AD2301" s="1227"/>
      <c r="AE2301" s="1227"/>
    </row>
    <row r="2302" spans="28:31">
      <c r="AB2302" s="1227"/>
      <c r="AC2302" s="1227"/>
      <c r="AD2302" s="1227"/>
      <c r="AE2302" s="1227"/>
    </row>
    <row r="2303" spans="28:31">
      <c r="AB2303" s="1227"/>
      <c r="AC2303" s="1227"/>
      <c r="AD2303" s="1227"/>
      <c r="AE2303" s="1227"/>
    </row>
    <row r="2304" spans="28:31">
      <c r="AB2304" s="1227"/>
      <c r="AC2304" s="1227"/>
      <c r="AD2304" s="1227"/>
      <c r="AE2304" s="1227"/>
    </row>
    <row r="2305" spans="28:31">
      <c r="AB2305" s="1227"/>
      <c r="AC2305" s="1227"/>
      <c r="AD2305" s="1227"/>
      <c r="AE2305" s="1227"/>
    </row>
    <row r="2306" spans="28:31">
      <c r="AB2306" s="1227"/>
      <c r="AC2306" s="1227"/>
      <c r="AD2306" s="1227"/>
      <c r="AE2306" s="1227"/>
    </row>
    <row r="2307" spans="28:31">
      <c r="AB2307" s="1227"/>
      <c r="AC2307" s="1227"/>
      <c r="AD2307" s="1227"/>
      <c r="AE2307" s="1227"/>
    </row>
    <row r="2308" spans="28:31">
      <c r="AB2308" s="1227"/>
      <c r="AC2308" s="1227"/>
      <c r="AD2308" s="1227"/>
      <c r="AE2308" s="1227"/>
    </row>
    <row r="2309" spans="28:31">
      <c r="AB2309" s="1227"/>
      <c r="AC2309" s="1227"/>
      <c r="AD2309" s="1227"/>
      <c r="AE2309" s="1227"/>
    </row>
    <row r="2310" spans="28:31">
      <c r="AB2310" s="1227"/>
      <c r="AC2310" s="1227"/>
      <c r="AD2310" s="1227"/>
      <c r="AE2310" s="1227"/>
    </row>
    <row r="2311" spans="28:31">
      <c r="AB2311" s="1227"/>
      <c r="AC2311" s="1227"/>
      <c r="AD2311" s="1227"/>
      <c r="AE2311" s="1227"/>
    </row>
    <row r="2312" spans="28:31">
      <c r="AB2312" s="1227"/>
      <c r="AC2312" s="1227"/>
      <c r="AD2312" s="1227"/>
      <c r="AE2312" s="1227"/>
    </row>
    <row r="2313" spans="28:31">
      <c r="AB2313" s="1227"/>
      <c r="AC2313" s="1227"/>
      <c r="AD2313" s="1227"/>
      <c r="AE2313" s="1227"/>
    </row>
    <row r="2314" spans="28:31">
      <c r="AB2314" s="1227"/>
      <c r="AC2314" s="1227"/>
      <c r="AD2314" s="1227"/>
      <c r="AE2314" s="1227"/>
    </row>
    <row r="2315" spans="28:31">
      <c r="AB2315" s="1227"/>
      <c r="AC2315" s="1227"/>
      <c r="AD2315" s="1227"/>
      <c r="AE2315" s="1227"/>
    </row>
    <row r="2316" spans="28:31">
      <c r="AB2316" s="1227"/>
      <c r="AC2316" s="1227"/>
      <c r="AD2316" s="1227"/>
      <c r="AE2316" s="1227"/>
    </row>
    <row r="2317" spans="28:31">
      <c r="AB2317" s="1227"/>
      <c r="AC2317" s="1227"/>
      <c r="AD2317" s="1227"/>
      <c r="AE2317" s="1227"/>
    </row>
    <row r="2318" spans="28:31">
      <c r="AB2318" s="1227"/>
      <c r="AC2318" s="1227"/>
      <c r="AD2318" s="1227"/>
      <c r="AE2318" s="1227"/>
    </row>
    <row r="2319" spans="28:31">
      <c r="AB2319" s="1227"/>
      <c r="AC2319" s="1227"/>
      <c r="AD2319" s="1227"/>
      <c r="AE2319" s="1227"/>
    </row>
    <row r="2320" spans="28:31">
      <c r="AB2320" s="1227"/>
      <c r="AC2320" s="1227"/>
      <c r="AD2320" s="1227"/>
      <c r="AE2320" s="1227"/>
    </row>
    <row r="2321" spans="28:31">
      <c r="AB2321" s="1227"/>
      <c r="AC2321" s="1227"/>
      <c r="AD2321" s="1227"/>
      <c r="AE2321" s="1227"/>
    </row>
    <row r="2322" spans="28:31">
      <c r="AB2322" s="1227"/>
      <c r="AC2322" s="1227"/>
      <c r="AD2322" s="1227"/>
      <c r="AE2322" s="1227"/>
    </row>
    <row r="2323" spans="28:31">
      <c r="AB2323" s="1227"/>
      <c r="AC2323" s="1227"/>
      <c r="AD2323" s="1227"/>
      <c r="AE2323" s="1227"/>
    </row>
    <row r="2324" spans="28:31">
      <c r="AB2324" s="1227"/>
      <c r="AC2324" s="1227"/>
      <c r="AD2324" s="1227"/>
      <c r="AE2324" s="1227"/>
    </row>
    <row r="2325" spans="28:31">
      <c r="AB2325" s="1227"/>
      <c r="AC2325" s="1227"/>
      <c r="AD2325" s="1227"/>
      <c r="AE2325" s="1227"/>
    </row>
    <row r="2326" spans="28:31">
      <c r="AB2326" s="1227"/>
      <c r="AC2326" s="1227"/>
      <c r="AD2326" s="1227"/>
      <c r="AE2326" s="1227"/>
    </row>
    <row r="2327" spans="28:31">
      <c r="AB2327" s="1227"/>
      <c r="AC2327" s="1227"/>
      <c r="AD2327" s="1227"/>
      <c r="AE2327" s="1227"/>
    </row>
    <row r="2328" spans="28:31">
      <c r="AB2328" s="1227"/>
      <c r="AC2328" s="1227"/>
      <c r="AD2328" s="1227"/>
      <c r="AE2328" s="1227"/>
    </row>
    <row r="2329" spans="28:31">
      <c r="AB2329" s="1227"/>
      <c r="AC2329" s="1227"/>
      <c r="AD2329" s="1227"/>
      <c r="AE2329" s="1227"/>
    </row>
    <row r="2330" spans="28:31">
      <c r="AB2330" s="1227"/>
      <c r="AC2330" s="1227"/>
      <c r="AD2330" s="1227"/>
      <c r="AE2330" s="1227"/>
    </row>
    <row r="2331" spans="28:31">
      <c r="AB2331" s="1227"/>
      <c r="AC2331" s="1227"/>
      <c r="AD2331" s="1227"/>
      <c r="AE2331" s="1227"/>
    </row>
    <row r="2332" spans="28:31">
      <c r="AB2332" s="1227"/>
      <c r="AC2332" s="1227"/>
      <c r="AD2332" s="1227"/>
      <c r="AE2332" s="1227"/>
    </row>
    <row r="2333" spans="28:31">
      <c r="AB2333" s="1227"/>
      <c r="AC2333" s="1227"/>
      <c r="AD2333" s="1227"/>
      <c r="AE2333" s="1227"/>
    </row>
    <row r="2334" spans="28:31">
      <c r="AB2334" s="1227"/>
      <c r="AC2334" s="1227"/>
      <c r="AD2334" s="1227"/>
      <c r="AE2334" s="1227"/>
    </row>
    <row r="2335" spans="28:31">
      <c r="AB2335" s="1227"/>
      <c r="AC2335" s="1227"/>
      <c r="AD2335" s="1227"/>
      <c r="AE2335" s="1227"/>
    </row>
    <row r="2336" spans="28:31">
      <c r="AB2336" s="1227"/>
      <c r="AC2336" s="1227"/>
      <c r="AD2336" s="1227"/>
      <c r="AE2336" s="1227"/>
    </row>
    <row r="2337" spans="28:31">
      <c r="AB2337" s="1227"/>
      <c r="AC2337" s="1227"/>
      <c r="AD2337" s="1227"/>
      <c r="AE2337" s="1227"/>
    </row>
    <row r="2338" spans="28:31">
      <c r="AB2338" s="1227"/>
      <c r="AC2338" s="1227"/>
      <c r="AD2338" s="1227"/>
      <c r="AE2338" s="1227"/>
    </row>
    <row r="2339" spans="28:31">
      <c r="AB2339" s="1227"/>
      <c r="AC2339" s="1227"/>
      <c r="AD2339" s="1227"/>
      <c r="AE2339" s="1227"/>
    </row>
    <row r="2340" spans="28:31">
      <c r="AB2340" s="1227"/>
      <c r="AC2340" s="1227"/>
      <c r="AD2340" s="1227"/>
      <c r="AE2340" s="1227"/>
    </row>
    <row r="2341" spans="28:31">
      <c r="AB2341" s="1227"/>
      <c r="AC2341" s="1227"/>
      <c r="AD2341" s="1227"/>
      <c r="AE2341" s="1227"/>
    </row>
    <row r="2342" spans="28:31">
      <c r="AB2342" s="1227"/>
      <c r="AC2342" s="1227"/>
      <c r="AD2342" s="1227"/>
      <c r="AE2342" s="1227"/>
    </row>
    <row r="2343" spans="28:31">
      <c r="AB2343" s="1227"/>
      <c r="AC2343" s="1227"/>
      <c r="AD2343" s="1227"/>
      <c r="AE2343" s="1227"/>
    </row>
    <row r="2344" spans="28:31">
      <c r="AB2344" s="1227"/>
      <c r="AC2344" s="1227"/>
      <c r="AD2344" s="1227"/>
      <c r="AE2344" s="1227"/>
    </row>
    <row r="2345" spans="28:31">
      <c r="AB2345" s="1227"/>
      <c r="AC2345" s="1227"/>
      <c r="AD2345" s="1227"/>
      <c r="AE2345" s="1227"/>
    </row>
    <row r="2346" spans="28:31">
      <c r="AB2346" s="1227"/>
      <c r="AC2346" s="1227"/>
      <c r="AD2346" s="1227"/>
      <c r="AE2346" s="1227"/>
    </row>
    <row r="2347" spans="28:31">
      <c r="AB2347" s="1227"/>
      <c r="AC2347" s="1227"/>
      <c r="AD2347" s="1227"/>
      <c r="AE2347" s="1227"/>
    </row>
    <row r="2348" spans="28:31">
      <c r="AB2348" s="1227"/>
      <c r="AC2348" s="1227"/>
      <c r="AD2348" s="1227"/>
      <c r="AE2348" s="1227"/>
    </row>
    <row r="2349" spans="28:31">
      <c r="AB2349" s="1227"/>
      <c r="AC2349" s="1227"/>
      <c r="AD2349" s="1227"/>
      <c r="AE2349" s="1227"/>
    </row>
    <row r="2350" spans="28:31">
      <c r="AB2350" s="1227"/>
      <c r="AC2350" s="1227"/>
      <c r="AD2350" s="1227"/>
      <c r="AE2350" s="1227"/>
    </row>
    <row r="2351" spans="28:31">
      <c r="AB2351" s="1227"/>
      <c r="AC2351" s="1227"/>
      <c r="AD2351" s="1227"/>
      <c r="AE2351" s="1227"/>
    </row>
    <row r="2352" spans="28:31">
      <c r="AB2352" s="1227"/>
      <c r="AC2352" s="1227"/>
      <c r="AD2352" s="1227"/>
      <c r="AE2352" s="1227"/>
    </row>
    <row r="2353" spans="28:31">
      <c r="AB2353" s="1227"/>
      <c r="AC2353" s="1227"/>
      <c r="AD2353" s="1227"/>
      <c r="AE2353" s="1227"/>
    </row>
    <row r="2354" spans="28:31">
      <c r="AB2354" s="1227"/>
      <c r="AC2354" s="1227"/>
      <c r="AD2354" s="1227"/>
      <c r="AE2354" s="1227"/>
    </row>
    <row r="2355" spans="28:31">
      <c r="AB2355" s="1227"/>
      <c r="AC2355" s="1227"/>
      <c r="AD2355" s="1227"/>
      <c r="AE2355" s="1227"/>
    </row>
    <row r="2356" spans="28:31">
      <c r="AB2356" s="1227"/>
      <c r="AC2356" s="1227"/>
      <c r="AD2356" s="1227"/>
      <c r="AE2356" s="1227"/>
    </row>
    <row r="2357" spans="28:31">
      <c r="AB2357" s="1227"/>
      <c r="AC2357" s="1227"/>
      <c r="AD2357" s="1227"/>
      <c r="AE2357" s="1227"/>
    </row>
    <row r="2358" spans="28:31">
      <c r="AB2358" s="1227"/>
      <c r="AC2358" s="1227"/>
      <c r="AD2358" s="1227"/>
      <c r="AE2358" s="1227"/>
    </row>
    <row r="2359" spans="28:31">
      <c r="AB2359" s="1227"/>
      <c r="AC2359" s="1227"/>
      <c r="AD2359" s="1227"/>
      <c r="AE2359" s="1227"/>
    </row>
    <row r="2360" spans="28:31">
      <c r="AB2360" s="1227"/>
      <c r="AC2360" s="1227"/>
      <c r="AD2360" s="1227"/>
      <c r="AE2360" s="1227"/>
    </row>
    <row r="2361" spans="28:31">
      <c r="AB2361" s="1227"/>
      <c r="AC2361" s="1227"/>
      <c r="AD2361" s="1227"/>
      <c r="AE2361" s="1227"/>
    </row>
    <row r="2362" spans="28:31">
      <c r="AB2362" s="1227"/>
      <c r="AC2362" s="1227"/>
      <c r="AD2362" s="1227"/>
      <c r="AE2362" s="1227"/>
    </row>
    <row r="2363" spans="28:31">
      <c r="AB2363" s="1227"/>
      <c r="AC2363" s="1227"/>
      <c r="AD2363" s="1227"/>
      <c r="AE2363" s="1227"/>
    </row>
    <row r="2364" spans="28:31">
      <c r="AB2364" s="1227"/>
      <c r="AC2364" s="1227"/>
      <c r="AD2364" s="1227"/>
      <c r="AE2364" s="1227"/>
    </row>
    <row r="2365" spans="28:31">
      <c r="AB2365" s="1227"/>
      <c r="AC2365" s="1227"/>
      <c r="AD2365" s="1227"/>
      <c r="AE2365" s="1227"/>
    </row>
    <row r="2366" spans="28:31">
      <c r="AB2366" s="1227"/>
      <c r="AC2366" s="1227"/>
      <c r="AD2366" s="1227"/>
      <c r="AE2366" s="1227"/>
    </row>
    <row r="2367" spans="28:31">
      <c r="AB2367" s="1227"/>
      <c r="AC2367" s="1227"/>
      <c r="AD2367" s="1227"/>
      <c r="AE2367" s="1227"/>
    </row>
    <row r="2368" spans="28:31">
      <c r="AB2368" s="1227"/>
      <c r="AC2368" s="1227"/>
      <c r="AD2368" s="1227"/>
      <c r="AE2368" s="1227"/>
    </row>
    <row r="2369" spans="28:31">
      <c r="AB2369" s="1227"/>
      <c r="AC2369" s="1227"/>
      <c r="AD2369" s="1227"/>
      <c r="AE2369" s="1227"/>
    </row>
    <row r="2370" spans="28:31">
      <c r="AB2370" s="1227"/>
      <c r="AC2370" s="1227"/>
      <c r="AD2370" s="1227"/>
      <c r="AE2370" s="1227"/>
    </row>
    <row r="2371" spans="28:31">
      <c r="AB2371" s="1227"/>
      <c r="AC2371" s="1227"/>
      <c r="AD2371" s="1227"/>
      <c r="AE2371" s="1227"/>
    </row>
    <row r="2372" spans="28:31">
      <c r="AB2372" s="1227"/>
      <c r="AC2372" s="1227"/>
      <c r="AD2372" s="1227"/>
      <c r="AE2372" s="1227"/>
    </row>
    <row r="2373" spans="28:31">
      <c r="AB2373" s="1227"/>
      <c r="AC2373" s="1227"/>
      <c r="AD2373" s="1227"/>
      <c r="AE2373" s="1227"/>
    </row>
    <row r="2374" spans="28:31">
      <c r="AB2374" s="1227"/>
      <c r="AC2374" s="1227"/>
      <c r="AD2374" s="1227"/>
      <c r="AE2374" s="1227"/>
    </row>
    <row r="2375" spans="28:31">
      <c r="AB2375" s="1227"/>
      <c r="AC2375" s="1227"/>
      <c r="AD2375" s="1227"/>
      <c r="AE2375" s="1227"/>
    </row>
    <row r="2376" spans="28:31">
      <c r="AB2376" s="1227"/>
      <c r="AC2376" s="1227"/>
      <c r="AD2376" s="1227"/>
      <c r="AE2376" s="1227"/>
    </row>
    <row r="2377" spans="28:31">
      <c r="AB2377" s="1227"/>
      <c r="AC2377" s="1227"/>
      <c r="AD2377" s="1227"/>
      <c r="AE2377" s="1227"/>
    </row>
    <row r="2378" spans="28:31">
      <c r="AB2378" s="1227"/>
      <c r="AC2378" s="1227"/>
      <c r="AD2378" s="1227"/>
      <c r="AE2378" s="1227"/>
    </row>
    <row r="2379" spans="28:31">
      <c r="AB2379" s="1227"/>
      <c r="AC2379" s="1227"/>
      <c r="AD2379" s="1227"/>
      <c r="AE2379" s="1227"/>
    </row>
    <row r="2380" spans="28:31">
      <c r="AB2380" s="1227"/>
      <c r="AC2380" s="1227"/>
      <c r="AD2380" s="1227"/>
      <c r="AE2380" s="1227"/>
    </row>
    <row r="2381" spans="28:31">
      <c r="AB2381" s="1227"/>
      <c r="AC2381" s="1227"/>
      <c r="AD2381" s="1227"/>
      <c r="AE2381" s="1227"/>
    </row>
    <row r="2382" spans="28:31">
      <c r="AB2382" s="1227"/>
      <c r="AC2382" s="1227"/>
      <c r="AD2382" s="1227"/>
      <c r="AE2382" s="1227"/>
    </row>
    <row r="2383" spans="28:31">
      <c r="AB2383" s="1227"/>
      <c r="AC2383" s="1227"/>
      <c r="AD2383" s="1227"/>
      <c r="AE2383" s="1227"/>
    </row>
    <row r="2384" spans="28:31">
      <c r="AB2384" s="1227"/>
      <c r="AC2384" s="1227"/>
      <c r="AD2384" s="1227"/>
      <c r="AE2384" s="1227"/>
    </row>
    <row r="2385" spans="28:31">
      <c r="AB2385" s="1227"/>
      <c r="AC2385" s="1227"/>
      <c r="AD2385" s="1227"/>
      <c r="AE2385" s="1227"/>
    </row>
    <row r="2386" spans="28:31">
      <c r="AB2386" s="1227"/>
      <c r="AC2386" s="1227"/>
      <c r="AD2386" s="1227"/>
      <c r="AE2386" s="1227"/>
    </row>
    <row r="2387" spans="28:31">
      <c r="AB2387" s="1227"/>
      <c r="AC2387" s="1227"/>
      <c r="AD2387" s="1227"/>
      <c r="AE2387" s="1227"/>
    </row>
    <row r="2388" spans="28:31">
      <c r="AB2388" s="1227"/>
      <c r="AC2388" s="1227"/>
      <c r="AD2388" s="1227"/>
      <c r="AE2388" s="1227"/>
    </row>
    <row r="2389" spans="28:31">
      <c r="AB2389" s="1227"/>
      <c r="AC2389" s="1227"/>
      <c r="AD2389" s="1227"/>
      <c r="AE2389" s="1227"/>
    </row>
    <row r="2390" spans="28:31">
      <c r="AB2390" s="1227"/>
      <c r="AC2390" s="1227"/>
      <c r="AD2390" s="1227"/>
      <c r="AE2390" s="1227"/>
    </row>
    <row r="2391" spans="28:31">
      <c r="AB2391" s="1227"/>
      <c r="AC2391" s="1227"/>
      <c r="AD2391" s="1227"/>
      <c r="AE2391" s="1227"/>
    </row>
    <row r="2392" spans="28:31">
      <c r="AB2392" s="1227"/>
      <c r="AC2392" s="1227"/>
      <c r="AD2392" s="1227"/>
      <c r="AE2392" s="1227"/>
    </row>
    <row r="2393" spans="28:31">
      <c r="AB2393" s="1227"/>
      <c r="AC2393" s="1227"/>
      <c r="AD2393" s="1227"/>
      <c r="AE2393" s="1227"/>
    </row>
    <row r="2394" spans="28:31">
      <c r="AB2394" s="1227"/>
      <c r="AC2394" s="1227"/>
      <c r="AD2394" s="1227"/>
      <c r="AE2394" s="1227"/>
    </row>
    <row r="2395" spans="28:31">
      <c r="AB2395" s="1227"/>
      <c r="AC2395" s="1227"/>
      <c r="AD2395" s="1227"/>
      <c r="AE2395" s="1227"/>
    </row>
    <row r="2396" spans="28:31">
      <c r="AB2396" s="1227"/>
      <c r="AC2396" s="1227"/>
      <c r="AD2396" s="1227"/>
      <c r="AE2396" s="1227"/>
    </row>
    <row r="2397" spans="28:31">
      <c r="AB2397" s="1227"/>
      <c r="AC2397" s="1227"/>
      <c r="AD2397" s="1227"/>
      <c r="AE2397" s="1227"/>
    </row>
    <row r="2398" spans="28:31">
      <c r="AB2398" s="1227"/>
      <c r="AC2398" s="1227"/>
      <c r="AD2398" s="1227"/>
      <c r="AE2398" s="1227"/>
    </row>
    <row r="2399" spans="28:31">
      <c r="AB2399" s="1227"/>
      <c r="AC2399" s="1227"/>
      <c r="AD2399" s="1227"/>
      <c r="AE2399" s="1227"/>
    </row>
    <row r="2400" spans="28:31">
      <c r="AB2400" s="1227"/>
      <c r="AC2400" s="1227"/>
      <c r="AD2400" s="1227"/>
      <c r="AE2400" s="1227"/>
    </row>
    <row r="2401" spans="28:31">
      <c r="AB2401" s="1227"/>
      <c r="AC2401" s="1227"/>
      <c r="AD2401" s="1227"/>
      <c r="AE2401" s="1227"/>
    </row>
    <row r="2402" spans="28:31">
      <c r="AB2402" s="1227"/>
      <c r="AC2402" s="1227"/>
      <c r="AD2402" s="1227"/>
      <c r="AE2402" s="1227"/>
    </row>
    <row r="2403" spans="28:31">
      <c r="AB2403" s="1227"/>
      <c r="AC2403" s="1227"/>
      <c r="AD2403" s="1227"/>
      <c r="AE2403" s="1227"/>
    </row>
    <row r="2404" spans="28:31">
      <c r="AB2404" s="1227"/>
      <c r="AC2404" s="1227"/>
      <c r="AD2404" s="1227"/>
      <c r="AE2404" s="1227"/>
    </row>
    <row r="2405" spans="28:31">
      <c r="AB2405" s="1227"/>
      <c r="AC2405" s="1227"/>
      <c r="AD2405" s="1227"/>
      <c r="AE2405" s="1227"/>
    </row>
    <row r="2406" spans="28:31">
      <c r="AB2406" s="1227"/>
      <c r="AC2406" s="1227"/>
      <c r="AD2406" s="1227"/>
      <c r="AE2406" s="1227"/>
    </row>
    <row r="2407" spans="28:31">
      <c r="AB2407" s="1227"/>
      <c r="AC2407" s="1227"/>
      <c r="AD2407" s="1227"/>
      <c r="AE2407" s="1227"/>
    </row>
    <row r="2408" spans="28:31">
      <c r="AB2408" s="1227"/>
      <c r="AC2408" s="1227"/>
      <c r="AD2408" s="1227"/>
      <c r="AE2408" s="1227"/>
    </row>
    <row r="2409" spans="28:31">
      <c r="AB2409" s="1227"/>
      <c r="AC2409" s="1227"/>
      <c r="AD2409" s="1227"/>
      <c r="AE2409" s="1227"/>
    </row>
    <row r="2410" spans="28:31">
      <c r="AB2410" s="1227"/>
      <c r="AC2410" s="1227"/>
      <c r="AD2410" s="1227"/>
      <c r="AE2410" s="1227"/>
    </row>
    <row r="2411" spans="28:31">
      <c r="AB2411" s="1227"/>
      <c r="AC2411" s="1227"/>
      <c r="AD2411" s="1227"/>
      <c r="AE2411" s="1227"/>
    </row>
    <row r="2412" spans="28:31">
      <c r="AB2412" s="1227"/>
      <c r="AC2412" s="1227"/>
      <c r="AD2412" s="1227"/>
      <c r="AE2412" s="1227"/>
    </row>
    <row r="2413" spans="28:31">
      <c r="AB2413" s="1227"/>
      <c r="AC2413" s="1227"/>
      <c r="AD2413" s="1227"/>
      <c r="AE2413" s="1227"/>
    </row>
    <row r="2414" spans="28:31">
      <c r="AB2414" s="1227"/>
      <c r="AC2414" s="1227"/>
      <c r="AD2414" s="1227"/>
      <c r="AE2414" s="1227"/>
    </row>
    <row r="2415" spans="28:31">
      <c r="AB2415" s="1227"/>
      <c r="AC2415" s="1227"/>
      <c r="AD2415" s="1227"/>
      <c r="AE2415" s="1227"/>
    </row>
    <row r="2416" spans="28:31">
      <c r="AB2416" s="1227"/>
      <c r="AC2416" s="1227"/>
      <c r="AD2416" s="1227"/>
      <c r="AE2416" s="1227"/>
    </row>
    <row r="2417" spans="28:31">
      <c r="AB2417" s="1227"/>
      <c r="AC2417" s="1227"/>
      <c r="AD2417" s="1227"/>
      <c r="AE2417" s="1227"/>
    </row>
    <row r="2418" spans="28:31">
      <c r="AB2418" s="1227"/>
      <c r="AC2418" s="1227"/>
      <c r="AD2418" s="1227"/>
      <c r="AE2418" s="1227"/>
    </row>
    <row r="2419" spans="28:31">
      <c r="AB2419" s="1227"/>
      <c r="AC2419" s="1227"/>
      <c r="AD2419" s="1227"/>
      <c r="AE2419" s="1227"/>
    </row>
    <row r="2420" spans="28:31">
      <c r="AB2420" s="1227"/>
      <c r="AC2420" s="1227"/>
      <c r="AD2420" s="1227"/>
      <c r="AE2420" s="1227"/>
    </row>
    <row r="2421" spans="28:31">
      <c r="AB2421" s="1227"/>
      <c r="AC2421" s="1227"/>
      <c r="AD2421" s="1227"/>
      <c r="AE2421" s="1227"/>
    </row>
    <row r="2422" spans="28:31">
      <c r="AB2422" s="1227"/>
      <c r="AC2422" s="1227"/>
      <c r="AD2422" s="1227"/>
      <c r="AE2422" s="1227"/>
    </row>
    <row r="2423" spans="28:31">
      <c r="AB2423" s="1227"/>
      <c r="AC2423" s="1227"/>
      <c r="AD2423" s="1227"/>
      <c r="AE2423" s="1227"/>
    </row>
    <row r="2424" spans="28:31">
      <c r="AB2424" s="1227"/>
      <c r="AC2424" s="1227"/>
      <c r="AD2424" s="1227"/>
      <c r="AE2424" s="1227"/>
    </row>
    <row r="2425" spans="28:31">
      <c r="AB2425" s="1227"/>
      <c r="AC2425" s="1227"/>
      <c r="AD2425" s="1227"/>
      <c r="AE2425" s="1227"/>
    </row>
    <row r="2426" spans="28:31">
      <c r="AB2426" s="1227"/>
      <c r="AC2426" s="1227"/>
      <c r="AD2426" s="1227"/>
      <c r="AE2426" s="1227"/>
    </row>
    <row r="2427" spans="28:31">
      <c r="AB2427" s="1227"/>
      <c r="AC2427" s="1227"/>
      <c r="AD2427" s="1227"/>
      <c r="AE2427" s="1227"/>
    </row>
    <row r="2428" spans="28:31">
      <c r="AB2428" s="1227"/>
      <c r="AC2428" s="1227"/>
      <c r="AD2428" s="1227"/>
      <c r="AE2428" s="1227"/>
    </row>
    <row r="2429" spans="28:31">
      <c r="AB2429" s="1227"/>
      <c r="AC2429" s="1227"/>
      <c r="AD2429" s="1227"/>
      <c r="AE2429" s="1227"/>
    </row>
    <row r="2430" spans="28:31">
      <c r="AB2430" s="1227"/>
      <c r="AC2430" s="1227"/>
      <c r="AD2430" s="1227"/>
      <c r="AE2430" s="1227"/>
    </row>
    <row r="2431" spans="28:31">
      <c r="AB2431" s="1227"/>
      <c r="AC2431" s="1227"/>
      <c r="AD2431" s="1227"/>
      <c r="AE2431" s="1227"/>
    </row>
    <row r="2432" spans="28:31">
      <c r="AB2432" s="1227"/>
      <c r="AC2432" s="1227"/>
      <c r="AD2432" s="1227"/>
      <c r="AE2432" s="1227"/>
    </row>
    <row r="2433" spans="28:31">
      <c r="AB2433" s="1227"/>
      <c r="AC2433" s="1227"/>
      <c r="AD2433" s="1227"/>
      <c r="AE2433" s="1227"/>
    </row>
    <row r="2434" spans="28:31">
      <c r="AB2434" s="1227"/>
      <c r="AC2434" s="1227"/>
      <c r="AD2434" s="1227"/>
      <c r="AE2434" s="1227"/>
    </row>
    <row r="2435" spans="28:31">
      <c r="AB2435" s="1227"/>
      <c r="AC2435" s="1227"/>
      <c r="AD2435" s="1227"/>
      <c r="AE2435" s="1227"/>
    </row>
    <row r="2436" spans="28:31">
      <c r="AB2436" s="1227"/>
      <c r="AC2436" s="1227"/>
      <c r="AD2436" s="1227"/>
      <c r="AE2436" s="1227"/>
    </row>
    <row r="2437" spans="28:31">
      <c r="AB2437" s="1227"/>
      <c r="AC2437" s="1227"/>
      <c r="AD2437" s="1227"/>
      <c r="AE2437" s="1227"/>
    </row>
    <row r="2438" spans="28:31">
      <c r="AB2438" s="1227"/>
      <c r="AC2438" s="1227"/>
      <c r="AD2438" s="1227"/>
      <c r="AE2438" s="1227"/>
    </row>
    <row r="2439" spans="28:31">
      <c r="AB2439" s="1227"/>
      <c r="AC2439" s="1227"/>
      <c r="AD2439" s="1227"/>
      <c r="AE2439" s="1227"/>
    </row>
    <row r="2440" spans="28:31">
      <c r="AB2440" s="1227"/>
      <c r="AC2440" s="1227"/>
      <c r="AD2440" s="1227"/>
      <c r="AE2440" s="1227"/>
    </row>
    <row r="2441" spans="28:31">
      <c r="AB2441" s="1227"/>
      <c r="AC2441" s="1227"/>
      <c r="AD2441" s="1227"/>
      <c r="AE2441" s="1227"/>
    </row>
    <row r="2442" spans="28:31">
      <c r="AB2442" s="1227"/>
      <c r="AC2442" s="1227"/>
      <c r="AD2442" s="1227"/>
      <c r="AE2442" s="1227"/>
    </row>
    <row r="2443" spans="28:31">
      <c r="AB2443" s="1227"/>
      <c r="AC2443" s="1227"/>
      <c r="AD2443" s="1227"/>
      <c r="AE2443" s="1227"/>
    </row>
    <row r="2444" spans="28:31">
      <c r="AB2444" s="1227"/>
      <c r="AC2444" s="1227"/>
      <c r="AD2444" s="1227"/>
      <c r="AE2444" s="1227"/>
    </row>
    <row r="2445" spans="28:31">
      <c r="AB2445" s="1227"/>
      <c r="AC2445" s="1227"/>
      <c r="AD2445" s="1227"/>
      <c r="AE2445" s="1227"/>
    </row>
    <row r="2446" spans="28:31">
      <c r="AB2446" s="1227"/>
      <c r="AC2446" s="1227"/>
      <c r="AD2446" s="1227"/>
      <c r="AE2446" s="1227"/>
    </row>
    <row r="2447" spans="28:31">
      <c r="AB2447" s="1227"/>
      <c r="AC2447" s="1227"/>
      <c r="AD2447" s="1227"/>
      <c r="AE2447" s="1227"/>
    </row>
    <row r="2448" spans="28:31">
      <c r="AB2448" s="1227"/>
      <c r="AC2448" s="1227"/>
      <c r="AD2448" s="1227"/>
      <c r="AE2448" s="1227"/>
    </row>
    <row r="2449" spans="28:31">
      <c r="AB2449" s="1227"/>
      <c r="AC2449" s="1227"/>
      <c r="AD2449" s="1227"/>
      <c r="AE2449" s="1227"/>
    </row>
    <row r="2450" spans="28:31">
      <c r="AB2450" s="1227"/>
      <c r="AC2450" s="1227"/>
      <c r="AD2450" s="1227"/>
      <c r="AE2450" s="1227"/>
    </row>
    <row r="2451" spans="28:31">
      <c r="AB2451" s="1227"/>
      <c r="AC2451" s="1227"/>
      <c r="AD2451" s="1227"/>
      <c r="AE2451" s="1227"/>
    </row>
    <row r="2452" spans="28:31">
      <c r="AB2452" s="1227"/>
      <c r="AC2452" s="1227"/>
      <c r="AD2452" s="1227"/>
      <c r="AE2452" s="1227"/>
    </row>
    <row r="2453" spans="28:31">
      <c r="AB2453" s="1227"/>
      <c r="AC2453" s="1227"/>
      <c r="AD2453" s="1227"/>
      <c r="AE2453" s="1227"/>
    </row>
    <row r="2454" spans="28:31">
      <c r="AB2454" s="1227"/>
      <c r="AC2454" s="1227"/>
      <c r="AD2454" s="1227"/>
      <c r="AE2454" s="1227"/>
    </row>
    <row r="2455" spans="28:31">
      <c r="AB2455" s="1227"/>
      <c r="AC2455" s="1227"/>
      <c r="AD2455" s="1227"/>
      <c r="AE2455" s="1227"/>
    </row>
    <row r="2456" spans="28:31">
      <c r="AB2456" s="1227"/>
      <c r="AC2456" s="1227"/>
      <c r="AD2456" s="1227"/>
      <c r="AE2456" s="1227"/>
    </row>
    <row r="2457" spans="28:31">
      <c r="AB2457" s="1227"/>
      <c r="AC2457" s="1227"/>
      <c r="AD2457" s="1227"/>
      <c r="AE2457" s="1227"/>
    </row>
    <row r="2458" spans="28:31">
      <c r="AB2458" s="1227"/>
      <c r="AC2458" s="1227"/>
      <c r="AD2458" s="1227"/>
      <c r="AE2458" s="1227"/>
    </row>
    <row r="2459" spans="28:31">
      <c r="AB2459" s="1227"/>
      <c r="AC2459" s="1227"/>
      <c r="AD2459" s="1227"/>
      <c r="AE2459" s="1227"/>
    </row>
    <row r="2460" spans="28:31">
      <c r="AB2460" s="1227"/>
      <c r="AC2460" s="1227"/>
      <c r="AD2460" s="1227"/>
      <c r="AE2460" s="1227"/>
    </row>
    <row r="2461" spans="28:31">
      <c r="AB2461" s="1227"/>
      <c r="AC2461" s="1227"/>
      <c r="AD2461" s="1227"/>
      <c r="AE2461" s="1227"/>
    </row>
    <row r="2462" spans="28:31">
      <c r="AB2462" s="1227"/>
      <c r="AC2462" s="1227"/>
      <c r="AD2462" s="1227"/>
      <c r="AE2462" s="1227"/>
    </row>
    <row r="2463" spans="28:31">
      <c r="AB2463" s="1227"/>
      <c r="AC2463" s="1227"/>
      <c r="AD2463" s="1227"/>
      <c r="AE2463" s="1227"/>
    </row>
    <row r="2464" spans="28:31">
      <c r="AB2464" s="1227"/>
      <c r="AC2464" s="1227"/>
      <c r="AD2464" s="1227"/>
      <c r="AE2464" s="1227"/>
    </row>
    <row r="2465" spans="28:31">
      <c r="AB2465" s="1227"/>
      <c r="AC2465" s="1227"/>
      <c r="AD2465" s="1227"/>
      <c r="AE2465" s="1227"/>
    </row>
    <row r="2466" spans="28:31">
      <c r="AB2466" s="1227"/>
      <c r="AC2466" s="1227"/>
      <c r="AD2466" s="1227"/>
      <c r="AE2466" s="1227"/>
    </row>
    <row r="2467" spans="28:31">
      <c r="AB2467" s="1227"/>
      <c r="AC2467" s="1227"/>
      <c r="AD2467" s="1227"/>
      <c r="AE2467" s="1227"/>
    </row>
    <row r="2468" spans="28:31">
      <c r="AB2468" s="1227"/>
      <c r="AC2468" s="1227"/>
      <c r="AD2468" s="1227"/>
      <c r="AE2468" s="1227"/>
    </row>
    <row r="2469" spans="28:31">
      <c r="AB2469" s="1227"/>
      <c r="AC2469" s="1227"/>
      <c r="AD2469" s="1227"/>
      <c r="AE2469" s="1227"/>
    </row>
    <row r="2470" spans="28:31">
      <c r="AB2470" s="1227"/>
      <c r="AC2470" s="1227"/>
      <c r="AD2470" s="1227"/>
      <c r="AE2470" s="1227"/>
    </row>
    <row r="2471" spans="28:31">
      <c r="AB2471" s="1227"/>
      <c r="AC2471" s="1227"/>
      <c r="AD2471" s="1227"/>
      <c r="AE2471" s="1227"/>
    </row>
    <row r="2472" spans="28:31">
      <c r="AB2472" s="1227"/>
      <c r="AC2472" s="1227"/>
      <c r="AD2472" s="1227"/>
      <c r="AE2472" s="1227"/>
    </row>
    <row r="2473" spans="28:31">
      <c r="AB2473" s="1227"/>
      <c r="AC2473" s="1227"/>
      <c r="AD2473" s="1227"/>
      <c r="AE2473" s="1227"/>
    </row>
    <row r="2474" spans="28:31">
      <c r="AB2474" s="1227"/>
      <c r="AC2474" s="1227"/>
      <c r="AD2474" s="1227"/>
      <c r="AE2474" s="1227"/>
    </row>
    <row r="2475" spans="28:31">
      <c r="AB2475" s="1227"/>
      <c r="AC2475" s="1227"/>
      <c r="AD2475" s="1227"/>
      <c r="AE2475" s="1227"/>
    </row>
    <row r="2476" spans="28:31">
      <c r="AB2476" s="1227"/>
      <c r="AC2476" s="1227"/>
      <c r="AD2476" s="1227"/>
      <c r="AE2476" s="1227"/>
    </row>
    <row r="2477" spans="28:31">
      <c r="AB2477" s="1227"/>
      <c r="AC2477" s="1227"/>
      <c r="AD2477" s="1227"/>
      <c r="AE2477" s="1227"/>
    </row>
    <row r="2478" spans="28:31">
      <c r="AB2478" s="1227"/>
      <c r="AC2478" s="1227"/>
      <c r="AD2478" s="1227"/>
      <c r="AE2478" s="1227"/>
    </row>
    <row r="2479" spans="28:31">
      <c r="AB2479" s="1227"/>
      <c r="AC2479" s="1227"/>
      <c r="AD2479" s="1227"/>
      <c r="AE2479" s="1227"/>
    </row>
    <row r="2480" spans="28:31">
      <c r="AB2480" s="1227"/>
      <c r="AC2480" s="1227"/>
      <c r="AD2480" s="1227"/>
      <c r="AE2480" s="1227"/>
    </row>
    <row r="2481" spans="28:31">
      <c r="AB2481" s="1227"/>
      <c r="AC2481" s="1227"/>
      <c r="AD2481" s="1227"/>
      <c r="AE2481" s="1227"/>
    </row>
    <row r="2482" spans="28:31">
      <c r="AB2482" s="1227"/>
      <c r="AC2482" s="1227"/>
      <c r="AD2482" s="1227"/>
      <c r="AE2482" s="1227"/>
    </row>
    <row r="2483" spans="28:31">
      <c r="AB2483" s="1227"/>
      <c r="AC2483" s="1227"/>
      <c r="AD2483" s="1227"/>
      <c r="AE2483" s="1227"/>
    </row>
    <row r="2484" spans="28:31">
      <c r="AB2484" s="1227"/>
      <c r="AC2484" s="1227"/>
      <c r="AD2484" s="1227"/>
      <c r="AE2484" s="1227"/>
    </row>
    <row r="2485" spans="28:31">
      <c r="AB2485" s="1227"/>
      <c r="AC2485" s="1227"/>
      <c r="AD2485" s="1227"/>
      <c r="AE2485" s="1227"/>
    </row>
    <row r="2486" spans="28:31">
      <c r="AB2486" s="1227"/>
      <c r="AC2486" s="1227"/>
      <c r="AD2486" s="1227"/>
      <c r="AE2486" s="1227"/>
    </row>
    <row r="2487" spans="28:31">
      <c r="AB2487" s="1227"/>
      <c r="AC2487" s="1227"/>
      <c r="AD2487" s="1227"/>
      <c r="AE2487" s="1227"/>
    </row>
    <row r="2488" spans="28:31">
      <c r="AB2488" s="1227"/>
      <c r="AC2488" s="1227"/>
      <c r="AD2488" s="1227"/>
      <c r="AE2488" s="1227"/>
    </row>
    <row r="2489" spans="28:31">
      <c r="AB2489" s="1227"/>
      <c r="AC2489" s="1227"/>
      <c r="AD2489" s="1227"/>
      <c r="AE2489" s="1227"/>
    </row>
    <row r="2490" spans="28:31">
      <c r="AB2490" s="1227"/>
      <c r="AC2490" s="1227"/>
      <c r="AD2490" s="1227"/>
      <c r="AE2490" s="1227"/>
    </row>
    <row r="2491" spans="28:31">
      <c r="AB2491" s="1227"/>
      <c r="AC2491" s="1227"/>
      <c r="AD2491" s="1227"/>
      <c r="AE2491" s="1227"/>
    </row>
    <row r="2492" spans="28:31">
      <c r="AB2492" s="1227"/>
      <c r="AC2492" s="1227"/>
      <c r="AD2492" s="1227"/>
      <c r="AE2492" s="1227"/>
    </row>
    <row r="2493" spans="28:31">
      <c r="AB2493" s="1227"/>
      <c r="AC2493" s="1227"/>
      <c r="AD2493" s="1227"/>
      <c r="AE2493" s="1227"/>
    </row>
    <row r="2494" spans="28:31">
      <c r="AB2494" s="1227"/>
      <c r="AC2494" s="1227"/>
      <c r="AD2494" s="1227"/>
      <c r="AE2494" s="1227"/>
    </row>
    <row r="2495" spans="28:31">
      <c r="AB2495" s="1227"/>
      <c r="AC2495" s="1227"/>
      <c r="AD2495" s="1227"/>
      <c r="AE2495" s="1227"/>
    </row>
    <row r="2496" spans="28:31">
      <c r="AB2496" s="1227"/>
      <c r="AC2496" s="1227"/>
      <c r="AD2496" s="1227"/>
      <c r="AE2496" s="1227"/>
    </row>
    <row r="2497" spans="28:31">
      <c r="AB2497" s="1227"/>
      <c r="AC2497" s="1227"/>
      <c r="AD2497" s="1227"/>
      <c r="AE2497" s="1227"/>
    </row>
    <row r="2498" spans="28:31">
      <c r="AB2498" s="1227"/>
      <c r="AC2498" s="1227"/>
      <c r="AD2498" s="1227"/>
      <c r="AE2498" s="1227"/>
    </row>
    <row r="2499" spans="28:31">
      <c r="AB2499" s="1227"/>
      <c r="AC2499" s="1227"/>
      <c r="AD2499" s="1227"/>
      <c r="AE2499" s="1227"/>
    </row>
    <row r="2500" spans="28:31">
      <c r="AB2500" s="1227"/>
      <c r="AC2500" s="1227"/>
      <c r="AD2500" s="1227"/>
      <c r="AE2500" s="1227"/>
    </row>
    <row r="2501" spans="28:31">
      <c r="AB2501" s="1227"/>
      <c r="AC2501" s="1227"/>
      <c r="AD2501" s="1227"/>
      <c r="AE2501" s="1227"/>
    </row>
    <row r="2502" spans="28:31">
      <c r="AB2502" s="1227"/>
      <c r="AC2502" s="1227"/>
      <c r="AD2502" s="1227"/>
      <c r="AE2502" s="1227"/>
    </row>
    <row r="2503" spans="28:31">
      <c r="AB2503" s="1227"/>
      <c r="AC2503" s="1227"/>
      <c r="AD2503" s="1227"/>
      <c r="AE2503" s="1227"/>
    </row>
    <row r="2504" spans="28:31">
      <c r="AB2504" s="1227"/>
      <c r="AC2504" s="1227"/>
      <c r="AD2504" s="1227"/>
      <c r="AE2504" s="1227"/>
    </row>
    <row r="2505" spans="28:31">
      <c r="AB2505" s="1227"/>
      <c r="AC2505" s="1227"/>
      <c r="AD2505" s="1227"/>
      <c r="AE2505" s="1227"/>
    </row>
    <row r="2506" spans="28:31">
      <c r="AB2506" s="1227"/>
      <c r="AC2506" s="1227"/>
      <c r="AD2506" s="1227"/>
      <c r="AE2506" s="1227"/>
    </row>
    <row r="2507" spans="28:31">
      <c r="AB2507" s="1227"/>
      <c r="AC2507" s="1227"/>
      <c r="AD2507" s="1227"/>
      <c r="AE2507" s="1227"/>
    </row>
    <row r="2508" spans="28:31">
      <c r="AB2508" s="1227"/>
      <c r="AC2508" s="1227"/>
      <c r="AD2508" s="1227"/>
      <c r="AE2508" s="1227"/>
    </row>
    <row r="2509" spans="28:31">
      <c r="AB2509" s="1227"/>
      <c r="AC2509" s="1227"/>
      <c r="AD2509" s="1227"/>
      <c r="AE2509" s="1227"/>
    </row>
    <row r="2510" spans="28:31">
      <c r="AB2510" s="1227"/>
      <c r="AC2510" s="1227"/>
      <c r="AD2510" s="1227"/>
      <c r="AE2510" s="1227"/>
    </row>
    <row r="2511" spans="28:31">
      <c r="AB2511" s="1227"/>
      <c r="AC2511" s="1227"/>
      <c r="AD2511" s="1227"/>
      <c r="AE2511" s="1227"/>
    </row>
    <row r="2512" spans="28:31">
      <c r="AB2512" s="1227"/>
      <c r="AC2512" s="1227"/>
      <c r="AD2512" s="1227"/>
      <c r="AE2512" s="1227"/>
    </row>
    <row r="2513" spans="28:31">
      <c r="AB2513" s="1227"/>
      <c r="AC2513" s="1227"/>
      <c r="AD2513" s="1227"/>
      <c r="AE2513" s="1227"/>
    </row>
    <row r="2514" spans="28:31">
      <c r="AB2514" s="1227"/>
      <c r="AC2514" s="1227"/>
      <c r="AD2514" s="1227"/>
      <c r="AE2514" s="1227"/>
    </row>
    <row r="2515" spans="28:31">
      <c r="AB2515" s="1227"/>
      <c r="AC2515" s="1227"/>
      <c r="AD2515" s="1227"/>
      <c r="AE2515" s="1227"/>
    </row>
    <row r="2516" spans="28:31">
      <c r="AB2516" s="1227"/>
      <c r="AC2516" s="1227"/>
      <c r="AD2516" s="1227"/>
      <c r="AE2516" s="1227"/>
    </row>
    <row r="2517" spans="28:31">
      <c r="AB2517" s="1227"/>
      <c r="AC2517" s="1227"/>
      <c r="AD2517" s="1227"/>
      <c r="AE2517" s="1227"/>
    </row>
    <row r="2518" spans="28:31">
      <c r="AB2518" s="1227"/>
      <c r="AC2518" s="1227"/>
      <c r="AD2518" s="1227"/>
      <c r="AE2518" s="1227"/>
    </row>
    <row r="2519" spans="28:31">
      <c r="AB2519" s="1227"/>
      <c r="AC2519" s="1227"/>
      <c r="AD2519" s="1227"/>
      <c r="AE2519" s="1227"/>
    </row>
    <row r="2520" spans="28:31">
      <c r="AB2520" s="1227"/>
      <c r="AC2520" s="1227"/>
      <c r="AD2520" s="1227"/>
      <c r="AE2520" s="1227"/>
    </row>
    <row r="2521" spans="28:31">
      <c r="AB2521" s="1227"/>
      <c r="AC2521" s="1227"/>
      <c r="AD2521" s="1227"/>
      <c r="AE2521" s="1227"/>
    </row>
    <row r="2522" spans="28:31">
      <c r="AB2522" s="1227"/>
      <c r="AC2522" s="1227"/>
      <c r="AD2522" s="1227"/>
      <c r="AE2522" s="1227"/>
    </row>
    <row r="2523" spans="28:31">
      <c r="AB2523" s="1227"/>
      <c r="AC2523" s="1227"/>
      <c r="AD2523" s="1227"/>
      <c r="AE2523" s="1227"/>
    </row>
    <row r="2524" spans="28:31">
      <c r="AB2524" s="1227"/>
      <c r="AC2524" s="1227"/>
      <c r="AD2524" s="1227"/>
      <c r="AE2524" s="1227"/>
    </row>
    <row r="2525" spans="28:31">
      <c r="AB2525" s="1227"/>
      <c r="AC2525" s="1227"/>
      <c r="AD2525" s="1227"/>
      <c r="AE2525" s="1227"/>
    </row>
    <row r="2526" spans="28:31">
      <c r="AB2526" s="1227"/>
      <c r="AC2526" s="1227"/>
      <c r="AD2526" s="1227"/>
      <c r="AE2526" s="1227"/>
    </row>
    <row r="2527" spans="28:31">
      <c r="AB2527" s="1227"/>
      <c r="AC2527" s="1227"/>
      <c r="AD2527" s="1227"/>
      <c r="AE2527" s="1227"/>
    </row>
    <row r="2528" spans="28:31">
      <c r="AB2528" s="1227"/>
      <c r="AC2528" s="1227"/>
      <c r="AD2528" s="1227"/>
      <c r="AE2528" s="1227"/>
    </row>
    <row r="2529" spans="28:31">
      <c r="AB2529" s="1227"/>
      <c r="AC2529" s="1227"/>
      <c r="AD2529" s="1227"/>
      <c r="AE2529" s="1227"/>
    </row>
    <row r="2530" spans="28:31">
      <c r="AB2530" s="1227"/>
      <c r="AC2530" s="1227"/>
      <c r="AD2530" s="1227"/>
      <c r="AE2530" s="1227"/>
    </row>
    <row r="2531" spans="28:31">
      <c r="AB2531" s="1227"/>
      <c r="AC2531" s="1227"/>
      <c r="AD2531" s="1227"/>
      <c r="AE2531" s="1227"/>
    </row>
    <row r="2532" spans="28:31">
      <c r="AB2532" s="1227"/>
      <c r="AC2532" s="1227"/>
      <c r="AD2532" s="1227"/>
      <c r="AE2532" s="1227"/>
    </row>
    <row r="2533" spans="28:31">
      <c r="AB2533" s="1227"/>
      <c r="AC2533" s="1227"/>
      <c r="AD2533" s="1227"/>
      <c r="AE2533" s="1227"/>
    </row>
    <row r="2534" spans="28:31">
      <c r="AB2534" s="1227"/>
      <c r="AC2534" s="1227"/>
      <c r="AD2534" s="1227"/>
      <c r="AE2534" s="1227"/>
    </row>
    <row r="2535" spans="28:31">
      <c r="AB2535" s="1227"/>
      <c r="AC2535" s="1227"/>
      <c r="AD2535" s="1227"/>
      <c r="AE2535" s="1227"/>
    </row>
    <row r="2536" spans="28:31">
      <c r="AB2536" s="1227"/>
      <c r="AC2536" s="1227"/>
      <c r="AD2536" s="1227"/>
      <c r="AE2536" s="1227"/>
    </row>
    <row r="2537" spans="28:31">
      <c r="AB2537" s="1227"/>
      <c r="AC2537" s="1227"/>
      <c r="AD2537" s="1227"/>
      <c r="AE2537" s="1227"/>
    </row>
    <row r="2538" spans="28:31">
      <c r="AB2538" s="1227"/>
      <c r="AC2538" s="1227"/>
      <c r="AD2538" s="1227"/>
      <c r="AE2538" s="1227"/>
    </row>
    <row r="2539" spans="28:31">
      <c r="AB2539" s="1227"/>
      <c r="AC2539" s="1227"/>
      <c r="AD2539" s="1227"/>
      <c r="AE2539" s="1227"/>
    </row>
    <row r="2540" spans="28:31">
      <c r="AB2540" s="1227"/>
      <c r="AC2540" s="1227"/>
      <c r="AD2540" s="1227"/>
      <c r="AE2540" s="1227"/>
    </row>
    <row r="2541" spans="28:31">
      <c r="AB2541" s="1227"/>
      <c r="AC2541" s="1227"/>
      <c r="AD2541" s="1227"/>
      <c r="AE2541" s="1227"/>
    </row>
    <row r="2542" spans="28:31">
      <c r="AB2542" s="1227"/>
      <c r="AC2542" s="1227"/>
      <c r="AD2542" s="1227"/>
      <c r="AE2542" s="1227"/>
    </row>
    <row r="2543" spans="28:31">
      <c r="AB2543" s="1227"/>
      <c r="AC2543" s="1227"/>
      <c r="AD2543" s="1227"/>
      <c r="AE2543" s="1227"/>
    </row>
    <row r="2544" spans="28:31">
      <c r="AB2544" s="1227"/>
      <c r="AC2544" s="1227"/>
      <c r="AD2544" s="1227"/>
      <c r="AE2544" s="1227"/>
    </row>
    <row r="2545" spans="28:31">
      <c r="AB2545" s="1227"/>
      <c r="AC2545" s="1227"/>
      <c r="AD2545" s="1227"/>
      <c r="AE2545" s="1227"/>
    </row>
    <row r="2546" spans="28:31">
      <c r="AB2546" s="1227"/>
      <c r="AC2546" s="1227"/>
      <c r="AD2546" s="1227"/>
      <c r="AE2546" s="1227"/>
    </row>
    <row r="2547" spans="28:31">
      <c r="AB2547" s="1227"/>
      <c r="AC2547" s="1227"/>
      <c r="AD2547" s="1227"/>
      <c r="AE2547" s="1227"/>
    </row>
    <row r="2548" spans="28:31">
      <c r="AB2548" s="1227"/>
      <c r="AC2548" s="1227"/>
      <c r="AD2548" s="1227"/>
      <c r="AE2548" s="1227"/>
    </row>
    <row r="2549" spans="28:31">
      <c r="AB2549" s="1227"/>
      <c r="AC2549" s="1227"/>
      <c r="AD2549" s="1227"/>
      <c r="AE2549" s="1227"/>
    </row>
    <row r="2550" spans="28:31">
      <c r="AB2550" s="1227"/>
      <c r="AC2550" s="1227"/>
      <c r="AD2550" s="1227"/>
      <c r="AE2550" s="1227"/>
    </row>
    <row r="2551" spans="28:31">
      <c r="AB2551" s="1227"/>
      <c r="AC2551" s="1227"/>
      <c r="AD2551" s="1227"/>
      <c r="AE2551" s="1227"/>
    </row>
    <row r="2552" spans="28:31">
      <c r="AB2552" s="1227"/>
      <c r="AC2552" s="1227"/>
      <c r="AD2552" s="1227"/>
      <c r="AE2552" s="1227"/>
    </row>
    <row r="2553" spans="28:31">
      <c r="AB2553" s="1227"/>
      <c r="AC2553" s="1227"/>
      <c r="AD2553" s="1227"/>
      <c r="AE2553" s="1227"/>
    </row>
    <row r="2554" spans="28:31">
      <c r="AB2554" s="1227"/>
      <c r="AC2554" s="1227"/>
      <c r="AD2554" s="1227"/>
      <c r="AE2554" s="1227"/>
    </row>
    <row r="2555" spans="28:31">
      <c r="AB2555" s="1227"/>
      <c r="AC2555" s="1227"/>
      <c r="AD2555" s="1227"/>
      <c r="AE2555" s="1227"/>
    </row>
    <row r="2556" spans="28:31">
      <c r="AB2556" s="1227"/>
      <c r="AC2556" s="1227"/>
      <c r="AD2556" s="1227"/>
      <c r="AE2556" s="1227"/>
    </row>
    <row r="2557" spans="28:31">
      <c r="AB2557" s="1227"/>
      <c r="AC2557" s="1227"/>
      <c r="AD2557" s="1227"/>
      <c r="AE2557" s="1227"/>
    </row>
    <row r="2558" spans="28:31">
      <c r="AB2558" s="1227"/>
      <c r="AC2558" s="1227"/>
      <c r="AD2558" s="1227"/>
      <c r="AE2558" s="1227"/>
    </row>
    <row r="2559" spans="28:31">
      <c r="AB2559" s="1227"/>
      <c r="AC2559" s="1227"/>
      <c r="AD2559" s="1227"/>
      <c r="AE2559" s="1227"/>
    </row>
    <row r="2560" spans="28:31">
      <c r="AB2560" s="1227"/>
      <c r="AC2560" s="1227"/>
      <c r="AD2560" s="1227"/>
      <c r="AE2560" s="1227"/>
    </row>
    <row r="2561" spans="28:31">
      <c r="AB2561" s="1227"/>
      <c r="AC2561" s="1227"/>
      <c r="AD2561" s="1227"/>
      <c r="AE2561" s="1227"/>
    </row>
    <row r="2562" spans="28:31">
      <c r="AB2562" s="1227"/>
      <c r="AC2562" s="1227"/>
      <c r="AD2562" s="1227"/>
      <c r="AE2562" s="1227"/>
    </row>
    <row r="2563" spans="28:31">
      <c r="AB2563" s="1227"/>
      <c r="AC2563" s="1227"/>
      <c r="AD2563" s="1227"/>
      <c r="AE2563" s="1227"/>
    </row>
    <row r="2564" spans="28:31">
      <c r="AB2564" s="1227"/>
      <c r="AC2564" s="1227"/>
      <c r="AD2564" s="1227"/>
      <c r="AE2564" s="1227"/>
    </row>
    <row r="2565" spans="28:31">
      <c r="AB2565" s="1227"/>
      <c r="AC2565" s="1227"/>
      <c r="AD2565" s="1227"/>
      <c r="AE2565" s="1227"/>
    </row>
    <row r="2566" spans="28:31">
      <c r="AB2566" s="1227"/>
      <c r="AC2566" s="1227"/>
      <c r="AD2566" s="1227"/>
      <c r="AE2566" s="1227"/>
    </row>
    <row r="2567" spans="28:31">
      <c r="AB2567" s="1227"/>
      <c r="AC2567" s="1227"/>
      <c r="AD2567" s="1227"/>
      <c r="AE2567" s="1227"/>
    </row>
    <row r="2568" spans="28:31">
      <c r="AB2568" s="1227"/>
      <c r="AC2568" s="1227"/>
      <c r="AD2568" s="1227"/>
      <c r="AE2568" s="1227"/>
    </row>
    <row r="2569" spans="28:31">
      <c r="AB2569" s="1227"/>
      <c r="AC2569" s="1227"/>
      <c r="AD2569" s="1227"/>
      <c r="AE2569" s="1227"/>
    </row>
    <row r="2570" spans="28:31">
      <c r="AB2570" s="1227"/>
      <c r="AC2570" s="1227"/>
      <c r="AD2570" s="1227"/>
      <c r="AE2570" s="1227"/>
    </row>
    <row r="2571" spans="28:31">
      <c r="AB2571" s="1227"/>
      <c r="AC2571" s="1227"/>
      <c r="AD2571" s="1227"/>
      <c r="AE2571" s="1227"/>
    </row>
    <row r="2572" spans="28:31">
      <c r="AB2572" s="1227"/>
      <c r="AC2572" s="1227"/>
      <c r="AD2572" s="1227"/>
      <c r="AE2572" s="1227"/>
    </row>
    <row r="2573" spans="28:31">
      <c r="AB2573" s="1227"/>
      <c r="AC2573" s="1227"/>
      <c r="AD2573" s="1227"/>
      <c r="AE2573" s="1227"/>
    </row>
    <row r="2574" spans="28:31">
      <c r="AB2574" s="1227"/>
      <c r="AC2574" s="1227"/>
      <c r="AD2574" s="1227"/>
      <c r="AE2574" s="1227"/>
    </row>
    <row r="2575" spans="28:31">
      <c r="AB2575" s="1227"/>
      <c r="AC2575" s="1227"/>
      <c r="AD2575" s="1227"/>
      <c r="AE2575" s="1227"/>
    </row>
    <row r="2576" spans="28:31">
      <c r="AB2576" s="1227"/>
      <c r="AC2576" s="1227"/>
      <c r="AD2576" s="1227"/>
      <c r="AE2576" s="1227"/>
    </row>
    <row r="2577" spans="28:31">
      <c r="AB2577" s="1227"/>
      <c r="AC2577" s="1227"/>
      <c r="AD2577" s="1227"/>
      <c r="AE2577" s="1227"/>
    </row>
    <row r="2578" spans="28:31">
      <c r="AB2578" s="1227"/>
      <c r="AC2578" s="1227"/>
      <c r="AD2578" s="1227"/>
      <c r="AE2578" s="1227"/>
    </row>
    <row r="2579" spans="28:31">
      <c r="AB2579" s="1227"/>
      <c r="AC2579" s="1227"/>
      <c r="AD2579" s="1227"/>
      <c r="AE2579" s="1227"/>
    </row>
    <row r="2580" spans="28:31">
      <c r="AB2580" s="1227"/>
      <c r="AC2580" s="1227"/>
      <c r="AD2580" s="1227"/>
      <c r="AE2580" s="1227"/>
    </row>
    <row r="2581" spans="28:31">
      <c r="AB2581" s="1227"/>
      <c r="AC2581" s="1227"/>
      <c r="AD2581" s="1227"/>
      <c r="AE2581" s="1227"/>
    </row>
    <row r="2582" spans="28:31">
      <c r="AB2582" s="1227"/>
      <c r="AC2582" s="1227"/>
      <c r="AD2582" s="1227"/>
      <c r="AE2582" s="1227"/>
    </row>
    <row r="2583" spans="28:31">
      <c r="AB2583" s="1227"/>
      <c r="AC2583" s="1227"/>
      <c r="AD2583" s="1227"/>
      <c r="AE2583" s="1227"/>
    </row>
    <row r="2584" spans="28:31">
      <c r="AB2584" s="1227"/>
      <c r="AC2584" s="1227"/>
      <c r="AD2584" s="1227"/>
      <c r="AE2584" s="1227"/>
    </row>
    <row r="2585" spans="28:31">
      <c r="AB2585" s="1227"/>
      <c r="AC2585" s="1227"/>
      <c r="AD2585" s="1227"/>
      <c r="AE2585" s="1227"/>
    </row>
    <row r="2586" spans="28:31">
      <c r="AB2586" s="1227"/>
      <c r="AC2586" s="1227"/>
      <c r="AD2586" s="1227"/>
      <c r="AE2586" s="1227"/>
    </row>
    <row r="2587" spans="28:31">
      <c r="AB2587" s="1227"/>
      <c r="AC2587" s="1227"/>
      <c r="AD2587" s="1227"/>
      <c r="AE2587" s="1227"/>
    </row>
    <row r="2588" spans="28:31">
      <c r="AB2588" s="1227"/>
      <c r="AC2588" s="1227"/>
      <c r="AD2588" s="1227"/>
      <c r="AE2588" s="1227"/>
    </row>
    <row r="2589" spans="28:31">
      <c r="AB2589" s="1227"/>
      <c r="AC2589" s="1227"/>
      <c r="AD2589" s="1227"/>
      <c r="AE2589" s="1227"/>
    </row>
    <row r="2590" spans="28:31">
      <c r="AB2590" s="1227"/>
      <c r="AC2590" s="1227"/>
      <c r="AD2590" s="1227"/>
      <c r="AE2590" s="1227"/>
    </row>
    <row r="2591" spans="28:31">
      <c r="AB2591" s="1227"/>
      <c r="AC2591" s="1227"/>
      <c r="AD2591" s="1227"/>
      <c r="AE2591" s="1227"/>
    </row>
    <row r="2592" spans="28:31">
      <c r="AB2592" s="1227"/>
      <c r="AC2592" s="1227"/>
      <c r="AD2592" s="1227"/>
      <c r="AE2592" s="1227"/>
    </row>
    <row r="2593" spans="28:31">
      <c r="AB2593" s="1227"/>
      <c r="AC2593" s="1227"/>
      <c r="AD2593" s="1227"/>
      <c r="AE2593" s="1227"/>
    </row>
    <row r="2594" spans="28:31">
      <c r="AB2594" s="1227"/>
      <c r="AC2594" s="1227"/>
      <c r="AD2594" s="1227"/>
      <c r="AE2594" s="1227"/>
    </row>
    <row r="2595" spans="28:31">
      <c r="AB2595" s="1227"/>
      <c r="AC2595" s="1227"/>
      <c r="AD2595" s="1227"/>
      <c r="AE2595" s="1227"/>
    </row>
    <row r="2596" spans="28:31">
      <c r="AB2596" s="1227"/>
      <c r="AC2596" s="1227"/>
      <c r="AD2596" s="1227"/>
      <c r="AE2596" s="1227"/>
    </row>
    <row r="2597" spans="28:31">
      <c r="AB2597" s="1227"/>
      <c r="AC2597" s="1227"/>
      <c r="AD2597" s="1227"/>
      <c r="AE2597" s="1227"/>
    </row>
    <row r="2598" spans="28:31">
      <c r="AB2598" s="1227"/>
      <c r="AC2598" s="1227"/>
      <c r="AD2598" s="1227"/>
      <c r="AE2598" s="1227"/>
    </row>
    <row r="2599" spans="28:31">
      <c r="AB2599" s="1227"/>
      <c r="AC2599" s="1227"/>
      <c r="AD2599" s="1227"/>
      <c r="AE2599" s="1227"/>
    </row>
    <row r="2600" spans="28:31">
      <c r="AB2600" s="1227"/>
      <c r="AC2600" s="1227"/>
      <c r="AD2600" s="1227"/>
      <c r="AE2600" s="1227"/>
    </row>
    <row r="2601" spans="28:31">
      <c r="AB2601" s="1227"/>
      <c r="AC2601" s="1227"/>
      <c r="AD2601" s="1227"/>
      <c r="AE2601" s="1227"/>
    </row>
    <row r="2602" spans="28:31">
      <c r="AB2602" s="1227"/>
      <c r="AC2602" s="1227"/>
      <c r="AD2602" s="1227"/>
      <c r="AE2602" s="1227"/>
    </row>
    <row r="2603" spans="28:31">
      <c r="AB2603" s="1227"/>
      <c r="AC2603" s="1227"/>
      <c r="AD2603" s="1227"/>
      <c r="AE2603" s="1227"/>
    </row>
    <row r="2604" spans="28:31">
      <c r="AB2604" s="1227"/>
      <c r="AC2604" s="1227"/>
      <c r="AD2604" s="1227"/>
      <c r="AE2604" s="1227"/>
    </row>
    <row r="2605" spans="28:31">
      <c r="AB2605" s="1227"/>
      <c r="AC2605" s="1227"/>
      <c r="AD2605" s="1227"/>
      <c r="AE2605" s="1227"/>
    </row>
    <row r="2606" spans="28:31">
      <c r="AB2606" s="1227"/>
      <c r="AC2606" s="1227"/>
      <c r="AD2606" s="1227"/>
      <c r="AE2606" s="1227"/>
    </row>
    <row r="2607" spans="28:31">
      <c r="AB2607" s="1227"/>
      <c r="AC2607" s="1227"/>
      <c r="AD2607" s="1227"/>
      <c r="AE2607" s="1227"/>
    </row>
    <row r="2608" spans="28:31">
      <c r="AB2608" s="1227"/>
      <c r="AC2608" s="1227"/>
      <c r="AD2608" s="1227"/>
      <c r="AE2608" s="1227"/>
    </row>
    <row r="2609" spans="28:31">
      <c r="AB2609" s="1227"/>
      <c r="AC2609" s="1227"/>
      <c r="AD2609" s="1227"/>
      <c r="AE2609" s="1227"/>
    </row>
    <row r="2610" spans="28:31">
      <c r="AB2610" s="1227"/>
      <c r="AC2610" s="1227"/>
      <c r="AD2610" s="1227"/>
      <c r="AE2610" s="1227"/>
    </row>
    <row r="2611" spans="28:31">
      <c r="AB2611" s="1227"/>
      <c r="AC2611" s="1227"/>
      <c r="AD2611" s="1227"/>
      <c r="AE2611" s="1227"/>
    </row>
    <row r="2612" spans="28:31">
      <c r="AB2612" s="1227"/>
      <c r="AC2612" s="1227"/>
      <c r="AD2612" s="1227"/>
      <c r="AE2612" s="1227"/>
    </row>
    <row r="2613" spans="28:31">
      <c r="AB2613" s="1227"/>
      <c r="AC2613" s="1227"/>
      <c r="AD2613" s="1227"/>
      <c r="AE2613" s="1227"/>
    </row>
    <row r="2614" spans="28:31">
      <c r="AB2614" s="1227"/>
      <c r="AC2614" s="1227"/>
      <c r="AD2614" s="1227"/>
      <c r="AE2614" s="1227"/>
    </row>
    <row r="2615" spans="28:31">
      <c r="AB2615" s="1227"/>
      <c r="AC2615" s="1227"/>
      <c r="AD2615" s="1227"/>
      <c r="AE2615" s="1227"/>
    </row>
    <row r="2616" spans="28:31">
      <c r="AB2616" s="1227"/>
      <c r="AC2616" s="1227"/>
      <c r="AD2616" s="1227"/>
      <c r="AE2616" s="1227"/>
    </row>
    <row r="2617" spans="28:31">
      <c r="AB2617" s="1227"/>
      <c r="AC2617" s="1227"/>
      <c r="AD2617" s="1227"/>
      <c r="AE2617" s="1227"/>
    </row>
    <row r="2618" spans="28:31">
      <c r="AB2618" s="1227"/>
      <c r="AC2618" s="1227"/>
      <c r="AD2618" s="1227"/>
      <c r="AE2618" s="1227"/>
    </row>
    <row r="2619" spans="28:31">
      <c r="AB2619" s="1227"/>
      <c r="AC2619" s="1227"/>
      <c r="AD2619" s="1227"/>
      <c r="AE2619" s="1227"/>
    </row>
    <row r="2620" spans="28:31">
      <c r="AB2620" s="1227"/>
      <c r="AC2620" s="1227"/>
      <c r="AD2620" s="1227"/>
      <c r="AE2620" s="1227"/>
    </row>
    <row r="2621" spans="28:31">
      <c r="AB2621" s="1227"/>
      <c r="AC2621" s="1227"/>
      <c r="AD2621" s="1227"/>
      <c r="AE2621" s="1227"/>
    </row>
    <row r="2622" spans="28:31">
      <c r="AB2622" s="1227"/>
      <c r="AC2622" s="1227"/>
      <c r="AD2622" s="1227"/>
      <c r="AE2622" s="1227"/>
    </row>
    <row r="2623" spans="28:31">
      <c r="AB2623" s="1227"/>
      <c r="AC2623" s="1227"/>
      <c r="AD2623" s="1227"/>
      <c r="AE2623" s="1227"/>
    </row>
    <row r="2624" spans="28:31">
      <c r="AB2624" s="1227"/>
      <c r="AC2624" s="1227"/>
      <c r="AD2624" s="1227"/>
      <c r="AE2624" s="1227"/>
    </row>
    <row r="2625" spans="28:31">
      <c r="AB2625" s="1227"/>
      <c r="AC2625" s="1227"/>
      <c r="AD2625" s="1227"/>
      <c r="AE2625" s="1227"/>
    </row>
    <row r="2626" spans="28:31">
      <c r="AB2626" s="1227"/>
      <c r="AC2626" s="1227"/>
      <c r="AD2626" s="1227"/>
      <c r="AE2626" s="1227"/>
    </row>
    <row r="2627" spans="28:31">
      <c r="AB2627" s="1227"/>
      <c r="AC2627" s="1227"/>
      <c r="AD2627" s="1227"/>
      <c r="AE2627" s="1227"/>
    </row>
    <row r="2628" spans="28:31">
      <c r="AB2628" s="1227"/>
      <c r="AC2628" s="1227"/>
      <c r="AD2628" s="1227"/>
      <c r="AE2628" s="1227"/>
    </row>
    <row r="2629" spans="28:31">
      <c r="AB2629" s="1227"/>
      <c r="AC2629" s="1227"/>
      <c r="AD2629" s="1227"/>
      <c r="AE2629" s="1227"/>
    </row>
    <row r="2630" spans="28:31">
      <c r="AB2630" s="1227"/>
      <c r="AC2630" s="1227"/>
      <c r="AD2630" s="1227"/>
      <c r="AE2630" s="1227"/>
    </row>
    <row r="2631" spans="28:31">
      <c r="AB2631" s="1227"/>
      <c r="AC2631" s="1227"/>
      <c r="AD2631" s="1227"/>
      <c r="AE2631" s="1227"/>
    </row>
    <row r="2632" spans="28:31">
      <c r="AB2632" s="1227"/>
      <c r="AC2632" s="1227"/>
      <c r="AD2632" s="1227"/>
      <c r="AE2632" s="1227"/>
    </row>
    <row r="2633" spans="28:31">
      <c r="AB2633" s="1227"/>
      <c r="AC2633" s="1227"/>
      <c r="AD2633" s="1227"/>
      <c r="AE2633" s="1227"/>
    </row>
    <row r="2634" spans="28:31">
      <c r="AB2634" s="1227"/>
      <c r="AC2634" s="1227"/>
      <c r="AD2634" s="1227"/>
      <c r="AE2634" s="1227"/>
    </row>
    <row r="2635" spans="28:31">
      <c r="AB2635" s="1227"/>
      <c r="AC2635" s="1227"/>
      <c r="AD2635" s="1227"/>
      <c r="AE2635" s="1227"/>
    </row>
    <row r="2636" spans="28:31">
      <c r="AB2636" s="1227"/>
      <c r="AC2636" s="1227"/>
      <c r="AD2636" s="1227"/>
      <c r="AE2636" s="1227"/>
    </row>
    <row r="2637" spans="28:31">
      <c r="AB2637" s="1227"/>
      <c r="AC2637" s="1227"/>
      <c r="AD2637" s="1227"/>
      <c r="AE2637" s="1227"/>
    </row>
    <row r="2638" spans="28:31">
      <c r="AB2638" s="1227"/>
      <c r="AC2638" s="1227"/>
      <c r="AD2638" s="1227"/>
      <c r="AE2638" s="1227"/>
    </row>
    <row r="2639" spans="28:31">
      <c r="AB2639" s="1227"/>
      <c r="AC2639" s="1227"/>
      <c r="AD2639" s="1227"/>
      <c r="AE2639" s="1227"/>
    </row>
    <row r="2640" spans="28:31">
      <c r="AB2640" s="1227"/>
      <c r="AC2640" s="1227"/>
      <c r="AD2640" s="1227"/>
      <c r="AE2640" s="1227"/>
    </row>
    <row r="2641" spans="28:31">
      <c r="AB2641" s="1227"/>
      <c r="AC2641" s="1227"/>
      <c r="AD2641" s="1227"/>
      <c r="AE2641" s="1227"/>
    </row>
    <row r="2642" spans="28:31">
      <c r="AB2642" s="1227"/>
      <c r="AC2642" s="1227"/>
      <c r="AD2642" s="1227"/>
      <c r="AE2642" s="1227"/>
    </row>
    <row r="2643" spans="28:31">
      <c r="AB2643" s="1227"/>
      <c r="AC2643" s="1227"/>
      <c r="AD2643" s="1227"/>
      <c r="AE2643" s="1227"/>
    </row>
    <row r="2644" spans="28:31">
      <c r="AB2644" s="1227"/>
      <c r="AC2644" s="1227"/>
      <c r="AD2644" s="1227"/>
      <c r="AE2644" s="1227"/>
    </row>
    <row r="2645" spans="28:31">
      <c r="AB2645" s="1227"/>
      <c r="AC2645" s="1227"/>
      <c r="AD2645" s="1227"/>
      <c r="AE2645" s="1227"/>
    </row>
    <row r="2646" spans="28:31">
      <c r="AB2646" s="1227"/>
      <c r="AC2646" s="1227"/>
      <c r="AD2646" s="1227"/>
      <c r="AE2646" s="1227"/>
    </row>
    <row r="2647" spans="28:31">
      <c r="AB2647" s="1227"/>
      <c r="AC2647" s="1227"/>
      <c r="AD2647" s="1227"/>
      <c r="AE2647" s="1227"/>
    </row>
    <row r="2648" spans="28:31">
      <c r="AB2648" s="1227"/>
      <c r="AC2648" s="1227"/>
      <c r="AD2648" s="1227"/>
      <c r="AE2648" s="1227"/>
    </row>
    <row r="2649" spans="28:31">
      <c r="AB2649" s="1227"/>
      <c r="AC2649" s="1227"/>
      <c r="AD2649" s="1227"/>
      <c r="AE2649" s="1227"/>
    </row>
    <row r="2650" spans="28:31">
      <c r="AB2650" s="1227"/>
      <c r="AC2650" s="1227"/>
      <c r="AD2650" s="1227"/>
      <c r="AE2650" s="1227"/>
    </row>
    <row r="2651" spans="28:31">
      <c r="AB2651" s="1227"/>
      <c r="AC2651" s="1227"/>
      <c r="AD2651" s="1227"/>
      <c r="AE2651" s="1227"/>
    </row>
    <row r="2652" spans="28:31">
      <c r="AB2652" s="1227"/>
      <c r="AC2652" s="1227"/>
      <c r="AD2652" s="1227"/>
      <c r="AE2652" s="1227"/>
    </row>
    <row r="2653" spans="28:31">
      <c r="AB2653" s="1227"/>
      <c r="AC2653" s="1227"/>
      <c r="AD2653" s="1227"/>
      <c r="AE2653" s="1227"/>
    </row>
    <row r="2654" spans="28:31">
      <c r="AB2654" s="1227"/>
      <c r="AC2654" s="1227"/>
      <c r="AD2654" s="1227"/>
      <c r="AE2654" s="1227"/>
    </row>
    <row r="2655" spans="28:31">
      <c r="AB2655" s="1227"/>
      <c r="AC2655" s="1227"/>
      <c r="AD2655" s="1227"/>
      <c r="AE2655" s="1227"/>
    </row>
    <row r="2656" spans="28:31">
      <c r="AB2656" s="1227"/>
      <c r="AC2656" s="1227"/>
      <c r="AD2656" s="1227"/>
      <c r="AE2656" s="1227"/>
    </row>
    <row r="2657" spans="28:31">
      <c r="AB2657" s="1227"/>
      <c r="AC2657" s="1227"/>
      <c r="AD2657" s="1227"/>
      <c r="AE2657" s="1227"/>
    </row>
    <row r="2658" spans="28:31">
      <c r="AB2658" s="1227"/>
      <c r="AC2658" s="1227"/>
      <c r="AD2658" s="1227"/>
      <c r="AE2658" s="1227"/>
    </row>
    <row r="2659" spans="28:31">
      <c r="AB2659" s="1227"/>
      <c r="AC2659" s="1227"/>
      <c r="AD2659" s="1227"/>
      <c r="AE2659" s="1227"/>
    </row>
    <row r="2660" spans="28:31">
      <c r="AB2660" s="1227"/>
      <c r="AC2660" s="1227"/>
      <c r="AD2660" s="1227"/>
      <c r="AE2660" s="1227"/>
    </row>
    <row r="2661" spans="28:31">
      <c r="AB2661" s="1227"/>
      <c r="AC2661" s="1227"/>
      <c r="AD2661" s="1227"/>
      <c r="AE2661" s="1227"/>
    </row>
    <row r="2662" spans="28:31">
      <c r="AB2662" s="1227"/>
      <c r="AC2662" s="1227"/>
      <c r="AD2662" s="1227"/>
      <c r="AE2662" s="1227"/>
    </row>
    <row r="2663" spans="28:31">
      <c r="AB2663" s="1227"/>
      <c r="AC2663" s="1227"/>
      <c r="AD2663" s="1227"/>
      <c r="AE2663" s="1227"/>
    </row>
    <row r="2664" spans="28:31">
      <c r="AB2664" s="1227"/>
      <c r="AC2664" s="1227"/>
      <c r="AD2664" s="1227"/>
      <c r="AE2664" s="1227"/>
    </row>
    <row r="2665" spans="28:31">
      <c r="AB2665" s="1227"/>
      <c r="AC2665" s="1227"/>
      <c r="AD2665" s="1227"/>
      <c r="AE2665" s="1227"/>
    </row>
    <row r="2666" spans="28:31">
      <c r="AB2666" s="1227"/>
      <c r="AC2666" s="1227"/>
      <c r="AD2666" s="1227"/>
      <c r="AE2666" s="1227"/>
    </row>
    <row r="2667" spans="28:31">
      <c r="AB2667" s="1227"/>
      <c r="AC2667" s="1227"/>
      <c r="AD2667" s="1227"/>
      <c r="AE2667" s="1227"/>
    </row>
    <row r="2668" spans="28:31">
      <c r="AB2668" s="1227"/>
      <c r="AC2668" s="1227"/>
      <c r="AD2668" s="1227"/>
      <c r="AE2668" s="1227"/>
    </row>
    <row r="2669" spans="28:31">
      <c r="AB2669" s="1227"/>
      <c r="AC2669" s="1227"/>
      <c r="AD2669" s="1227"/>
      <c r="AE2669" s="1227"/>
    </row>
    <row r="2670" spans="28:31">
      <c r="AB2670" s="1227"/>
      <c r="AC2670" s="1227"/>
      <c r="AD2670" s="1227"/>
      <c r="AE2670" s="1227"/>
    </row>
    <row r="2671" spans="28:31">
      <c r="AB2671" s="1227"/>
      <c r="AC2671" s="1227"/>
      <c r="AD2671" s="1227"/>
      <c r="AE2671" s="1227"/>
    </row>
    <row r="2672" spans="28:31">
      <c r="AB2672" s="1227"/>
      <c r="AC2672" s="1227"/>
      <c r="AD2672" s="1227"/>
      <c r="AE2672" s="1227"/>
    </row>
    <row r="2673" spans="28:31">
      <c r="AB2673" s="1227"/>
      <c r="AC2673" s="1227"/>
      <c r="AD2673" s="1227"/>
      <c r="AE2673" s="1227"/>
    </row>
    <row r="2674" spans="28:31">
      <c r="AB2674" s="1227"/>
      <c r="AC2674" s="1227"/>
      <c r="AD2674" s="1227"/>
      <c r="AE2674" s="1227"/>
    </row>
    <row r="2675" spans="28:31">
      <c r="AB2675" s="1227"/>
      <c r="AC2675" s="1227"/>
      <c r="AD2675" s="1227"/>
      <c r="AE2675" s="1227"/>
    </row>
    <row r="2676" spans="28:31">
      <c r="AB2676" s="1227"/>
      <c r="AC2676" s="1227"/>
      <c r="AD2676" s="1227"/>
      <c r="AE2676" s="1227"/>
    </row>
    <row r="2677" spans="28:31">
      <c r="AB2677" s="1227"/>
      <c r="AC2677" s="1227"/>
      <c r="AD2677" s="1227"/>
      <c r="AE2677" s="1227"/>
    </row>
    <row r="2678" spans="28:31">
      <c r="AB2678" s="1227"/>
      <c r="AC2678" s="1227"/>
      <c r="AD2678" s="1227"/>
      <c r="AE2678" s="1227"/>
    </row>
    <row r="2679" spans="28:31">
      <c r="AB2679" s="1227"/>
      <c r="AC2679" s="1227"/>
      <c r="AD2679" s="1227"/>
      <c r="AE2679" s="1227"/>
    </row>
    <row r="2680" spans="28:31">
      <c r="AB2680" s="1227"/>
      <c r="AC2680" s="1227"/>
      <c r="AD2680" s="1227"/>
      <c r="AE2680" s="1227"/>
    </row>
    <row r="2681" spans="28:31">
      <c r="AB2681" s="1227"/>
      <c r="AC2681" s="1227"/>
      <c r="AD2681" s="1227"/>
      <c r="AE2681" s="1227"/>
    </row>
    <row r="2682" spans="28:31">
      <c r="AB2682" s="1227"/>
      <c r="AC2682" s="1227"/>
      <c r="AD2682" s="1227"/>
      <c r="AE2682" s="1227"/>
    </row>
    <row r="2683" spans="28:31">
      <c r="AB2683" s="1227"/>
      <c r="AC2683" s="1227"/>
      <c r="AD2683" s="1227"/>
      <c r="AE2683" s="1227"/>
    </row>
    <row r="2684" spans="28:31">
      <c r="AB2684" s="1227"/>
      <c r="AC2684" s="1227"/>
      <c r="AD2684" s="1227"/>
      <c r="AE2684" s="1227"/>
    </row>
    <row r="2685" spans="28:31">
      <c r="AB2685" s="1227"/>
      <c r="AC2685" s="1227"/>
      <c r="AD2685" s="1227"/>
      <c r="AE2685" s="1227"/>
    </row>
    <row r="2686" spans="28:31">
      <c r="AB2686" s="1227"/>
      <c r="AC2686" s="1227"/>
      <c r="AD2686" s="1227"/>
      <c r="AE2686" s="1227"/>
    </row>
    <row r="2687" spans="28:31">
      <c r="AB2687" s="1227"/>
      <c r="AC2687" s="1227"/>
      <c r="AD2687" s="1227"/>
      <c r="AE2687" s="1227"/>
    </row>
    <row r="2688" spans="28:31">
      <c r="AB2688" s="1227"/>
      <c r="AC2688" s="1227"/>
      <c r="AD2688" s="1227"/>
      <c r="AE2688" s="1227"/>
    </row>
    <row r="2689" spans="28:31">
      <c r="AB2689" s="1227"/>
      <c r="AC2689" s="1227"/>
      <c r="AD2689" s="1227"/>
      <c r="AE2689" s="1227"/>
    </row>
    <row r="2690" spans="28:31">
      <c r="AB2690" s="1227"/>
      <c r="AC2690" s="1227"/>
      <c r="AD2690" s="1227"/>
      <c r="AE2690" s="1227"/>
    </row>
    <row r="2691" spans="28:31">
      <c r="AB2691" s="1227"/>
      <c r="AC2691" s="1227"/>
      <c r="AD2691" s="1227"/>
      <c r="AE2691" s="1227"/>
    </row>
    <row r="2692" spans="28:31">
      <c r="AB2692" s="1227"/>
      <c r="AC2692" s="1227"/>
      <c r="AD2692" s="1227"/>
      <c r="AE2692" s="1227"/>
    </row>
    <row r="2693" spans="28:31">
      <c r="AB2693" s="1227"/>
      <c r="AC2693" s="1227"/>
      <c r="AD2693" s="1227"/>
      <c r="AE2693" s="1227"/>
    </row>
    <row r="2694" spans="28:31">
      <c r="AB2694" s="1227"/>
      <c r="AC2694" s="1227"/>
      <c r="AD2694" s="1227"/>
      <c r="AE2694" s="1227"/>
    </row>
    <row r="2695" spans="28:31">
      <c r="AB2695" s="1227"/>
      <c r="AC2695" s="1227"/>
      <c r="AD2695" s="1227"/>
      <c r="AE2695" s="1227"/>
    </row>
    <row r="2696" spans="28:31">
      <c r="AB2696" s="1227"/>
      <c r="AC2696" s="1227"/>
      <c r="AD2696" s="1227"/>
      <c r="AE2696" s="1227"/>
    </row>
    <row r="2697" spans="28:31">
      <c r="AB2697" s="1227"/>
      <c r="AC2697" s="1227"/>
      <c r="AD2697" s="1227"/>
      <c r="AE2697" s="1227"/>
    </row>
    <row r="2698" spans="28:31">
      <c r="AB2698" s="1227"/>
      <c r="AC2698" s="1227"/>
      <c r="AD2698" s="1227"/>
      <c r="AE2698" s="1227"/>
    </row>
    <row r="2699" spans="28:31">
      <c r="AB2699" s="1227"/>
      <c r="AC2699" s="1227"/>
      <c r="AD2699" s="1227"/>
      <c r="AE2699" s="1227"/>
    </row>
    <row r="2700" spans="28:31">
      <c r="AB2700" s="1227"/>
      <c r="AC2700" s="1227"/>
      <c r="AD2700" s="1227"/>
      <c r="AE2700" s="1227"/>
    </row>
    <row r="2701" spans="28:31">
      <c r="AB2701" s="1227"/>
      <c r="AC2701" s="1227"/>
      <c r="AD2701" s="1227"/>
      <c r="AE2701" s="1227"/>
    </row>
    <row r="2702" spans="28:31">
      <c r="AB2702" s="1227"/>
      <c r="AC2702" s="1227"/>
      <c r="AD2702" s="1227"/>
      <c r="AE2702" s="1227"/>
    </row>
    <row r="2703" spans="28:31">
      <c r="AB2703" s="1227"/>
      <c r="AC2703" s="1227"/>
      <c r="AD2703" s="1227"/>
      <c r="AE2703" s="1227"/>
    </row>
    <row r="2704" spans="28:31">
      <c r="AB2704" s="1227"/>
      <c r="AC2704" s="1227"/>
      <c r="AD2704" s="1227"/>
      <c r="AE2704" s="1227"/>
    </row>
    <row r="2705" spans="28:31">
      <c r="AB2705" s="1227"/>
      <c r="AC2705" s="1227"/>
      <c r="AD2705" s="1227"/>
      <c r="AE2705" s="1227"/>
    </row>
    <row r="2706" spans="28:31">
      <c r="AB2706" s="1227"/>
      <c r="AC2706" s="1227"/>
      <c r="AD2706" s="1227"/>
      <c r="AE2706" s="1227"/>
    </row>
    <row r="2707" spans="28:31">
      <c r="AB2707" s="1227"/>
      <c r="AC2707" s="1227"/>
      <c r="AD2707" s="1227"/>
      <c r="AE2707" s="1227"/>
    </row>
    <row r="2708" spans="28:31">
      <c r="AB2708" s="1227"/>
      <c r="AC2708" s="1227"/>
      <c r="AD2708" s="1227"/>
      <c r="AE2708" s="1227"/>
    </row>
    <row r="2709" spans="28:31">
      <c r="AB2709" s="1227"/>
      <c r="AC2709" s="1227"/>
      <c r="AD2709" s="1227"/>
      <c r="AE2709" s="1227"/>
    </row>
    <row r="2710" spans="28:31">
      <c r="AB2710" s="1227"/>
      <c r="AC2710" s="1227"/>
      <c r="AD2710" s="1227"/>
      <c r="AE2710" s="1227"/>
    </row>
    <row r="2711" spans="28:31">
      <c r="AB2711" s="1227"/>
      <c r="AC2711" s="1227"/>
      <c r="AD2711" s="1227"/>
      <c r="AE2711" s="1227"/>
    </row>
    <row r="2712" spans="28:31">
      <c r="AB2712" s="1227"/>
      <c r="AC2712" s="1227"/>
      <c r="AD2712" s="1227"/>
      <c r="AE2712" s="1227"/>
    </row>
    <row r="2713" spans="28:31">
      <c r="AB2713" s="1227"/>
      <c r="AC2713" s="1227"/>
      <c r="AD2713" s="1227"/>
      <c r="AE2713" s="1227"/>
    </row>
    <row r="2714" spans="28:31">
      <c r="AB2714" s="1227"/>
      <c r="AC2714" s="1227"/>
      <c r="AD2714" s="1227"/>
      <c r="AE2714" s="1227"/>
    </row>
    <row r="2715" spans="28:31">
      <c r="AB2715" s="1227"/>
      <c r="AC2715" s="1227"/>
      <c r="AD2715" s="1227"/>
      <c r="AE2715" s="1227"/>
    </row>
    <row r="2716" spans="28:31">
      <c r="AB2716" s="1227"/>
      <c r="AC2716" s="1227"/>
      <c r="AD2716" s="1227"/>
      <c r="AE2716" s="1227"/>
    </row>
    <row r="2717" spans="28:31">
      <c r="AB2717" s="1227"/>
      <c r="AC2717" s="1227"/>
      <c r="AD2717" s="1227"/>
      <c r="AE2717" s="1227"/>
    </row>
    <row r="2718" spans="28:31">
      <c r="AB2718" s="1227"/>
      <c r="AC2718" s="1227"/>
      <c r="AD2718" s="1227"/>
      <c r="AE2718" s="1227"/>
    </row>
    <row r="2719" spans="28:31">
      <c r="AB2719" s="1227"/>
      <c r="AC2719" s="1227"/>
      <c r="AD2719" s="1227"/>
      <c r="AE2719" s="1227"/>
    </row>
    <row r="2720" spans="28:31">
      <c r="AB2720" s="1227"/>
      <c r="AC2720" s="1227"/>
      <c r="AD2720" s="1227"/>
      <c r="AE2720" s="1227"/>
    </row>
    <row r="2721" spans="28:31">
      <c r="AB2721" s="1227"/>
      <c r="AC2721" s="1227"/>
      <c r="AD2721" s="1227"/>
      <c r="AE2721" s="1227"/>
    </row>
    <row r="2722" spans="28:31">
      <c r="AB2722" s="1227"/>
      <c r="AC2722" s="1227"/>
      <c r="AD2722" s="1227"/>
      <c r="AE2722" s="1227"/>
    </row>
    <row r="2723" spans="28:31">
      <c r="AB2723" s="1227"/>
      <c r="AC2723" s="1227"/>
      <c r="AD2723" s="1227"/>
      <c r="AE2723" s="1227"/>
    </row>
    <row r="2724" spans="28:31">
      <c r="AB2724" s="1227"/>
      <c r="AC2724" s="1227"/>
      <c r="AD2724" s="1227"/>
      <c r="AE2724" s="1227"/>
    </row>
    <row r="2725" spans="28:31">
      <c r="AB2725" s="1227"/>
      <c r="AC2725" s="1227"/>
      <c r="AD2725" s="1227"/>
      <c r="AE2725" s="1227"/>
    </row>
    <row r="2726" spans="28:31">
      <c r="AB2726" s="1227"/>
      <c r="AC2726" s="1227"/>
      <c r="AD2726" s="1227"/>
      <c r="AE2726" s="1227"/>
    </row>
    <row r="2727" spans="28:31">
      <c r="AB2727" s="1227"/>
      <c r="AC2727" s="1227"/>
      <c r="AD2727" s="1227"/>
      <c r="AE2727" s="1227"/>
    </row>
    <row r="2728" spans="28:31">
      <c r="AB2728" s="1227"/>
      <c r="AC2728" s="1227"/>
      <c r="AD2728" s="1227"/>
      <c r="AE2728" s="1227"/>
    </row>
    <row r="2729" spans="28:31">
      <c r="AB2729" s="1227"/>
      <c r="AC2729" s="1227"/>
      <c r="AD2729" s="1227"/>
      <c r="AE2729" s="1227"/>
    </row>
    <row r="2730" spans="28:31">
      <c r="AB2730" s="1227"/>
      <c r="AC2730" s="1227"/>
      <c r="AD2730" s="1227"/>
      <c r="AE2730" s="1227"/>
    </row>
    <row r="2731" spans="28:31">
      <c r="AB2731" s="1227"/>
      <c r="AC2731" s="1227"/>
      <c r="AD2731" s="1227"/>
      <c r="AE2731" s="1227"/>
    </row>
    <row r="2732" spans="28:31">
      <c r="AB2732" s="1227"/>
      <c r="AC2732" s="1227"/>
      <c r="AD2732" s="1227"/>
      <c r="AE2732" s="1227"/>
    </row>
    <row r="2733" spans="28:31">
      <c r="AB2733" s="1227"/>
      <c r="AC2733" s="1227"/>
      <c r="AD2733" s="1227"/>
      <c r="AE2733" s="1227"/>
    </row>
    <row r="2734" spans="28:31">
      <c r="AB2734" s="1227"/>
      <c r="AC2734" s="1227"/>
      <c r="AD2734" s="1227"/>
      <c r="AE2734" s="1227"/>
    </row>
    <row r="2735" spans="28:31">
      <c r="AB2735" s="1227"/>
      <c r="AC2735" s="1227"/>
      <c r="AD2735" s="1227"/>
      <c r="AE2735" s="1227"/>
    </row>
    <row r="2736" spans="28:31">
      <c r="AB2736" s="1227"/>
      <c r="AC2736" s="1227"/>
      <c r="AD2736" s="1227"/>
      <c r="AE2736" s="1227"/>
    </row>
    <row r="2737" spans="28:31">
      <c r="AB2737" s="1227"/>
      <c r="AC2737" s="1227"/>
      <c r="AD2737" s="1227"/>
      <c r="AE2737" s="1227"/>
    </row>
    <row r="2738" spans="28:31">
      <c r="AB2738" s="1227"/>
      <c r="AC2738" s="1227"/>
      <c r="AD2738" s="1227"/>
      <c r="AE2738" s="1227"/>
    </row>
    <row r="2739" spans="28:31">
      <c r="AB2739" s="1227"/>
      <c r="AC2739" s="1227"/>
      <c r="AD2739" s="1227"/>
      <c r="AE2739" s="1227"/>
    </row>
    <row r="2740" spans="28:31">
      <c r="AB2740" s="1227"/>
      <c r="AC2740" s="1227"/>
      <c r="AD2740" s="1227"/>
      <c r="AE2740" s="1227"/>
    </row>
    <row r="2741" spans="28:31">
      <c r="AB2741" s="1227"/>
      <c r="AC2741" s="1227"/>
      <c r="AD2741" s="1227"/>
      <c r="AE2741" s="1227"/>
    </row>
    <row r="2742" spans="28:31">
      <c r="AB2742" s="1227"/>
      <c r="AC2742" s="1227"/>
      <c r="AD2742" s="1227"/>
      <c r="AE2742" s="1227"/>
    </row>
    <row r="2743" spans="28:31">
      <c r="AB2743" s="1227"/>
      <c r="AC2743" s="1227"/>
      <c r="AD2743" s="1227"/>
      <c r="AE2743" s="1227"/>
    </row>
    <row r="2744" spans="28:31">
      <c r="AB2744" s="1227"/>
      <c r="AC2744" s="1227"/>
      <c r="AD2744" s="1227"/>
      <c r="AE2744" s="1227"/>
    </row>
    <row r="2745" spans="28:31">
      <c r="AB2745" s="1227"/>
      <c r="AC2745" s="1227"/>
      <c r="AD2745" s="1227"/>
      <c r="AE2745" s="1227"/>
    </row>
    <row r="2746" spans="28:31">
      <c r="AB2746" s="1227"/>
      <c r="AC2746" s="1227"/>
      <c r="AD2746" s="1227"/>
      <c r="AE2746" s="1227"/>
    </row>
    <row r="2747" spans="28:31">
      <c r="AB2747" s="1227"/>
      <c r="AC2747" s="1227"/>
      <c r="AD2747" s="1227"/>
      <c r="AE2747" s="1227"/>
    </row>
    <row r="2748" spans="28:31">
      <c r="AB2748" s="1227"/>
      <c r="AC2748" s="1227"/>
      <c r="AD2748" s="1227"/>
      <c r="AE2748" s="1227"/>
    </row>
    <row r="2749" spans="28:31">
      <c r="AB2749" s="1227"/>
      <c r="AC2749" s="1227"/>
      <c r="AD2749" s="1227"/>
      <c r="AE2749" s="1227"/>
    </row>
    <row r="2750" spans="28:31">
      <c r="AB2750" s="1227"/>
      <c r="AC2750" s="1227"/>
      <c r="AD2750" s="1227"/>
      <c r="AE2750" s="1227"/>
    </row>
    <row r="2751" spans="28:31">
      <c r="AB2751" s="1227"/>
      <c r="AC2751" s="1227"/>
      <c r="AD2751" s="1227"/>
      <c r="AE2751" s="1227"/>
    </row>
    <row r="2752" spans="28:31">
      <c r="AB2752" s="1227"/>
      <c r="AC2752" s="1227"/>
      <c r="AD2752" s="1227"/>
      <c r="AE2752" s="1227"/>
    </row>
    <row r="2753" spans="28:31">
      <c r="AB2753" s="1227"/>
      <c r="AC2753" s="1227"/>
      <c r="AD2753" s="1227"/>
      <c r="AE2753" s="1227"/>
    </row>
    <row r="2754" spans="28:31">
      <c r="AB2754" s="1227"/>
      <c r="AC2754" s="1227"/>
      <c r="AD2754" s="1227"/>
      <c r="AE2754" s="1227"/>
    </row>
    <row r="2755" spans="28:31">
      <c r="AB2755" s="1227"/>
      <c r="AC2755" s="1227"/>
      <c r="AD2755" s="1227"/>
      <c r="AE2755" s="1227"/>
    </row>
    <row r="2756" spans="28:31">
      <c r="AB2756" s="1227"/>
      <c r="AC2756" s="1227"/>
      <c r="AD2756" s="1227"/>
      <c r="AE2756" s="1227"/>
    </row>
    <row r="2757" spans="28:31">
      <c r="AB2757" s="1227"/>
      <c r="AC2757" s="1227"/>
      <c r="AD2757" s="1227"/>
      <c r="AE2757" s="1227"/>
    </row>
    <row r="2758" spans="28:31">
      <c r="AB2758" s="1227"/>
      <c r="AC2758" s="1227"/>
      <c r="AD2758" s="1227"/>
      <c r="AE2758" s="1227"/>
    </row>
    <row r="2759" spans="28:31">
      <c r="AB2759" s="1227"/>
      <c r="AC2759" s="1227"/>
      <c r="AD2759" s="1227"/>
      <c r="AE2759" s="1227"/>
    </row>
    <row r="2760" spans="28:31">
      <c r="AB2760" s="1227"/>
      <c r="AC2760" s="1227"/>
      <c r="AD2760" s="1227"/>
      <c r="AE2760" s="1227"/>
    </row>
    <row r="2761" spans="28:31">
      <c r="AB2761" s="1227"/>
      <c r="AC2761" s="1227"/>
      <c r="AD2761" s="1227"/>
      <c r="AE2761" s="1227"/>
    </row>
    <row r="2762" spans="28:31">
      <c r="AB2762" s="1227"/>
      <c r="AC2762" s="1227"/>
      <c r="AD2762" s="1227"/>
      <c r="AE2762" s="1227"/>
    </row>
    <row r="2763" spans="28:31">
      <c r="AB2763" s="1227"/>
      <c r="AC2763" s="1227"/>
      <c r="AD2763" s="1227"/>
      <c r="AE2763" s="1227"/>
    </row>
    <row r="2764" spans="28:31">
      <c r="AB2764" s="1227"/>
      <c r="AC2764" s="1227"/>
      <c r="AD2764" s="1227"/>
      <c r="AE2764" s="1227"/>
    </row>
    <row r="2765" spans="28:31">
      <c r="AB2765" s="1227"/>
      <c r="AC2765" s="1227"/>
      <c r="AD2765" s="1227"/>
      <c r="AE2765" s="1227"/>
    </row>
    <row r="2766" spans="28:31">
      <c r="AB2766" s="1227"/>
      <c r="AC2766" s="1227"/>
      <c r="AD2766" s="1227"/>
      <c r="AE2766" s="1227"/>
    </row>
    <row r="2767" spans="28:31">
      <c r="AB2767" s="1227"/>
      <c r="AC2767" s="1227"/>
      <c r="AD2767" s="1227"/>
      <c r="AE2767" s="1227"/>
    </row>
    <row r="2768" spans="28:31">
      <c r="AB2768" s="1227"/>
      <c r="AC2768" s="1227"/>
      <c r="AD2768" s="1227"/>
      <c r="AE2768" s="1227"/>
    </row>
    <row r="2769" spans="28:31">
      <c r="AB2769" s="1227"/>
      <c r="AC2769" s="1227"/>
      <c r="AD2769" s="1227"/>
      <c r="AE2769" s="1227"/>
    </row>
    <row r="2770" spans="28:31">
      <c r="AB2770" s="1227"/>
      <c r="AC2770" s="1227"/>
      <c r="AD2770" s="1227"/>
      <c r="AE2770" s="1227"/>
    </row>
    <row r="2771" spans="28:31">
      <c r="AB2771" s="1227"/>
      <c r="AC2771" s="1227"/>
      <c r="AD2771" s="1227"/>
      <c r="AE2771" s="1227"/>
    </row>
    <row r="2772" spans="28:31">
      <c r="AB2772" s="1227"/>
      <c r="AC2772" s="1227"/>
      <c r="AD2772" s="1227"/>
      <c r="AE2772" s="1227"/>
    </row>
    <row r="2773" spans="28:31">
      <c r="AB2773" s="1227"/>
      <c r="AC2773" s="1227"/>
      <c r="AD2773" s="1227"/>
      <c r="AE2773" s="1227"/>
    </row>
    <row r="2774" spans="28:31">
      <c r="AB2774" s="1227"/>
      <c r="AC2774" s="1227"/>
      <c r="AD2774" s="1227"/>
      <c r="AE2774" s="1227"/>
    </row>
    <row r="2775" spans="28:31">
      <c r="AB2775" s="1227"/>
      <c r="AC2775" s="1227"/>
      <c r="AD2775" s="1227"/>
      <c r="AE2775" s="1227"/>
    </row>
    <row r="2776" spans="28:31">
      <c r="AB2776" s="1227"/>
      <c r="AC2776" s="1227"/>
      <c r="AD2776" s="1227"/>
      <c r="AE2776" s="1227"/>
    </row>
    <row r="2777" spans="28:31">
      <c r="AB2777" s="1227"/>
      <c r="AC2777" s="1227"/>
      <c r="AD2777" s="1227"/>
      <c r="AE2777" s="1227"/>
    </row>
    <row r="2778" spans="28:31">
      <c r="AB2778" s="1227"/>
      <c r="AC2778" s="1227"/>
      <c r="AD2778" s="1227"/>
      <c r="AE2778" s="1227"/>
    </row>
    <row r="2779" spans="28:31">
      <c r="AB2779" s="1227"/>
      <c r="AC2779" s="1227"/>
      <c r="AD2779" s="1227"/>
      <c r="AE2779" s="1227"/>
    </row>
    <row r="2780" spans="28:31">
      <c r="AB2780" s="1227"/>
      <c r="AC2780" s="1227"/>
      <c r="AD2780" s="1227"/>
      <c r="AE2780" s="1227"/>
    </row>
    <row r="2781" spans="28:31">
      <c r="AB2781" s="1227"/>
      <c r="AC2781" s="1227"/>
      <c r="AD2781" s="1227"/>
      <c r="AE2781" s="1227"/>
    </row>
    <row r="2782" spans="28:31">
      <c r="AB2782" s="1227"/>
      <c r="AC2782" s="1227"/>
      <c r="AD2782" s="1227"/>
      <c r="AE2782" s="1227"/>
    </row>
    <row r="2783" spans="28:31">
      <c r="AB2783" s="1227"/>
      <c r="AC2783" s="1227"/>
      <c r="AD2783" s="1227"/>
      <c r="AE2783" s="1227"/>
    </row>
    <row r="2784" spans="28:31">
      <c r="AB2784" s="1227"/>
      <c r="AC2784" s="1227"/>
      <c r="AD2784" s="1227"/>
      <c r="AE2784" s="1227"/>
    </row>
    <row r="2785" spans="28:31">
      <c r="AB2785" s="1227"/>
      <c r="AC2785" s="1227"/>
      <c r="AD2785" s="1227"/>
      <c r="AE2785" s="1227"/>
    </row>
    <row r="2786" spans="28:31">
      <c r="AB2786" s="1227"/>
      <c r="AC2786" s="1227"/>
      <c r="AD2786" s="1227"/>
      <c r="AE2786" s="1227"/>
    </row>
    <row r="2787" spans="28:31">
      <c r="AB2787" s="1227"/>
      <c r="AC2787" s="1227"/>
      <c r="AD2787" s="1227"/>
      <c r="AE2787" s="1227"/>
    </row>
    <row r="2788" spans="28:31">
      <c r="AB2788" s="1227"/>
      <c r="AC2788" s="1227"/>
      <c r="AD2788" s="1227"/>
      <c r="AE2788" s="1227"/>
    </row>
    <row r="2789" spans="28:31">
      <c r="AB2789" s="1227"/>
      <c r="AC2789" s="1227"/>
      <c r="AD2789" s="1227"/>
      <c r="AE2789" s="1227"/>
    </row>
    <row r="2790" spans="28:31">
      <c r="AB2790" s="1227"/>
      <c r="AC2790" s="1227"/>
      <c r="AD2790" s="1227"/>
      <c r="AE2790" s="1227"/>
    </row>
    <row r="2791" spans="28:31">
      <c r="AB2791" s="1227"/>
      <c r="AC2791" s="1227"/>
      <c r="AD2791" s="1227"/>
      <c r="AE2791" s="1227"/>
    </row>
    <row r="2792" spans="28:31">
      <c r="AB2792" s="1227"/>
      <c r="AC2792" s="1227"/>
      <c r="AD2792" s="1227"/>
      <c r="AE2792" s="1227"/>
    </row>
    <row r="2793" spans="28:31">
      <c r="AB2793" s="1227"/>
      <c r="AC2793" s="1227"/>
      <c r="AD2793" s="1227"/>
      <c r="AE2793" s="1227"/>
    </row>
    <row r="2794" spans="28:31">
      <c r="AB2794" s="1227"/>
      <c r="AC2794" s="1227"/>
      <c r="AD2794" s="1227"/>
      <c r="AE2794" s="1227"/>
    </row>
    <row r="2795" spans="28:31">
      <c r="AB2795" s="1227"/>
      <c r="AC2795" s="1227"/>
      <c r="AD2795" s="1227"/>
      <c r="AE2795" s="1227"/>
    </row>
    <row r="2796" spans="28:31">
      <c r="AB2796" s="1227"/>
      <c r="AC2796" s="1227"/>
      <c r="AD2796" s="1227"/>
      <c r="AE2796" s="1227"/>
    </row>
    <row r="2797" spans="28:31">
      <c r="AB2797" s="1227"/>
      <c r="AC2797" s="1227"/>
      <c r="AD2797" s="1227"/>
      <c r="AE2797" s="1227"/>
    </row>
    <row r="2798" spans="28:31">
      <c r="AB2798" s="1227"/>
      <c r="AC2798" s="1227"/>
      <c r="AD2798" s="1227"/>
      <c r="AE2798" s="1227"/>
    </row>
    <row r="2799" spans="28:31">
      <c r="AB2799" s="1227"/>
      <c r="AC2799" s="1227"/>
      <c r="AD2799" s="1227"/>
      <c r="AE2799" s="1227"/>
    </row>
    <row r="2800" spans="28:31">
      <c r="AB2800" s="1227"/>
      <c r="AC2800" s="1227"/>
      <c r="AD2800" s="1227"/>
      <c r="AE2800" s="1227"/>
    </row>
    <row r="2801" spans="28:31">
      <c r="AB2801" s="1227"/>
      <c r="AC2801" s="1227"/>
      <c r="AD2801" s="1227"/>
      <c r="AE2801" s="1227"/>
    </row>
    <row r="2802" spans="28:31">
      <c r="AB2802" s="1227"/>
      <c r="AC2802" s="1227"/>
      <c r="AD2802" s="1227"/>
      <c r="AE2802" s="1227"/>
    </row>
    <row r="2803" spans="28:31">
      <c r="AB2803" s="1227"/>
      <c r="AC2803" s="1227"/>
      <c r="AD2803" s="1227"/>
      <c r="AE2803" s="1227"/>
    </row>
    <row r="2804" spans="28:31">
      <c r="AB2804" s="1227"/>
      <c r="AC2804" s="1227"/>
      <c r="AD2804" s="1227"/>
      <c r="AE2804" s="1227"/>
    </row>
    <row r="2805" spans="28:31">
      <c r="AB2805" s="1227"/>
      <c r="AC2805" s="1227"/>
      <c r="AD2805" s="1227"/>
      <c r="AE2805" s="1227"/>
    </row>
    <row r="2806" spans="28:31">
      <c r="AB2806" s="1227"/>
      <c r="AC2806" s="1227"/>
      <c r="AD2806" s="1227"/>
      <c r="AE2806" s="1227"/>
    </row>
    <row r="2807" spans="28:31">
      <c r="AB2807" s="1227"/>
      <c r="AC2807" s="1227"/>
      <c r="AD2807" s="1227"/>
      <c r="AE2807" s="1227"/>
    </row>
    <row r="2808" spans="28:31">
      <c r="AB2808" s="1227"/>
      <c r="AC2808" s="1227"/>
      <c r="AD2808" s="1227"/>
      <c r="AE2808" s="1227"/>
    </row>
    <row r="2809" spans="28:31">
      <c r="AB2809" s="1227"/>
      <c r="AC2809" s="1227"/>
      <c r="AD2809" s="1227"/>
      <c r="AE2809" s="1227"/>
    </row>
    <row r="2810" spans="28:31">
      <c r="AB2810" s="1227"/>
      <c r="AC2810" s="1227"/>
      <c r="AD2810" s="1227"/>
      <c r="AE2810" s="1227"/>
    </row>
    <row r="2811" spans="28:31">
      <c r="AB2811" s="1227"/>
      <c r="AC2811" s="1227"/>
      <c r="AD2811" s="1227"/>
      <c r="AE2811" s="1227"/>
    </row>
    <row r="2812" spans="28:31">
      <c r="AB2812" s="1227"/>
      <c r="AC2812" s="1227"/>
      <c r="AD2812" s="1227"/>
      <c r="AE2812" s="1227"/>
    </row>
    <row r="2813" spans="28:31">
      <c r="AB2813" s="1227"/>
      <c r="AC2813" s="1227"/>
      <c r="AD2813" s="1227"/>
      <c r="AE2813" s="1227"/>
    </row>
    <row r="2814" spans="28:31">
      <c r="AB2814" s="1227"/>
      <c r="AC2814" s="1227"/>
      <c r="AD2814" s="1227"/>
      <c r="AE2814" s="1227"/>
    </row>
    <row r="2815" spans="28:31">
      <c r="AB2815" s="1227"/>
      <c r="AC2815" s="1227"/>
      <c r="AD2815" s="1227"/>
      <c r="AE2815" s="1227"/>
    </row>
    <row r="2816" spans="28:31">
      <c r="AB2816" s="1227"/>
      <c r="AC2816" s="1227"/>
      <c r="AD2816" s="1227"/>
      <c r="AE2816" s="1227"/>
    </row>
    <row r="2817" spans="28:31">
      <c r="AB2817" s="1227"/>
      <c r="AC2817" s="1227"/>
      <c r="AD2817" s="1227"/>
      <c r="AE2817" s="1227"/>
    </row>
    <row r="2818" spans="28:31">
      <c r="AB2818" s="1227"/>
      <c r="AC2818" s="1227"/>
      <c r="AD2818" s="1227"/>
      <c r="AE2818" s="1227"/>
    </row>
    <row r="2819" spans="28:31">
      <c r="AB2819" s="1227"/>
      <c r="AC2819" s="1227"/>
      <c r="AD2819" s="1227"/>
      <c r="AE2819" s="1227"/>
    </row>
    <row r="2820" spans="28:31">
      <c r="AB2820" s="1227"/>
      <c r="AC2820" s="1227"/>
      <c r="AD2820" s="1227"/>
      <c r="AE2820" s="1227"/>
    </row>
    <row r="2821" spans="28:31">
      <c r="AB2821" s="1227"/>
      <c r="AC2821" s="1227"/>
      <c r="AD2821" s="1227"/>
      <c r="AE2821" s="1227"/>
    </row>
    <row r="2822" spans="28:31">
      <c r="AB2822" s="1227"/>
      <c r="AC2822" s="1227"/>
      <c r="AD2822" s="1227"/>
      <c r="AE2822" s="1227"/>
    </row>
    <row r="2823" spans="28:31">
      <c r="AB2823" s="1227"/>
      <c r="AC2823" s="1227"/>
      <c r="AD2823" s="1227"/>
      <c r="AE2823" s="1227"/>
    </row>
    <row r="2824" spans="28:31">
      <c r="AB2824" s="1227"/>
      <c r="AC2824" s="1227"/>
      <c r="AD2824" s="1227"/>
      <c r="AE2824" s="1227"/>
    </row>
    <row r="2825" spans="28:31">
      <c r="AB2825" s="1227"/>
      <c r="AC2825" s="1227"/>
      <c r="AD2825" s="1227"/>
      <c r="AE2825" s="1227"/>
    </row>
    <row r="2826" spans="28:31">
      <c r="AB2826" s="1227"/>
      <c r="AC2826" s="1227"/>
      <c r="AD2826" s="1227"/>
      <c r="AE2826" s="1227"/>
    </row>
    <row r="2827" spans="28:31">
      <c r="AB2827" s="1227"/>
      <c r="AC2827" s="1227"/>
      <c r="AD2827" s="1227"/>
      <c r="AE2827" s="1227"/>
    </row>
    <row r="2828" spans="28:31">
      <c r="AB2828" s="1227"/>
      <c r="AC2828" s="1227"/>
      <c r="AD2828" s="1227"/>
      <c r="AE2828" s="1227"/>
    </row>
    <row r="2829" spans="28:31">
      <c r="AB2829" s="1227"/>
      <c r="AC2829" s="1227"/>
      <c r="AD2829" s="1227"/>
      <c r="AE2829" s="1227"/>
    </row>
    <row r="2830" spans="28:31">
      <c r="AB2830" s="1227"/>
      <c r="AC2830" s="1227"/>
      <c r="AD2830" s="1227"/>
      <c r="AE2830" s="1227"/>
    </row>
    <row r="2831" spans="28:31">
      <c r="AB2831" s="1227"/>
      <c r="AC2831" s="1227"/>
      <c r="AD2831" s="1227"/>
      <c r="AE2831" s="1227"/>
    </row>
    <row r="2832" spans="28:31">
      <c r="AB2832" s="1227"/>
      <c r="AC2832" s="1227"/>
      <c r="AD2832" s="1227"/>
      <c r="AE2832" s="1227"/>
    </row>
    <row r="2833" spans="28:31">
      <c r="AB2833" s="1227"/>
      <c r="AC2833" s="1227"/>
      <c r="AD2833" s="1227"/>
      <c r="AE2833" s="1227"/>
    </row>
    <row r="2834" spans="28:31">
      <c r="AB2834" s="1227"/>
      <c r="AC2834" s="1227"/>
      <c r="AD2834" s="1227"/>
      <c r="AE2834" s="1227"/>
    </row>
    <row r="2835" spans="28:31">
      <c r="AB2835" s="1227"/>
      <c r="AC2835" s="1227"/>
      <c r="AD2835" s="1227"/>
      <c r="AE2835" s="1227"/>
    </row>
    <row r="2836" spans="28:31">
      <c r="AB2836" s="1227"/>
      <c r="AC2836" s="1227"/>
      <c r="AD2836" s="1227"/>
      <c r="AE2836" s="1227"/>
    </row>
    <row r="2837" spans="28:31">
      <c r="AB2837" s="1227"/>
      <c r="AC2837" s="1227"/>
      <c r="AD2837" s="1227"/>
      <c r="AE2837" s="1227"/>
    </row>
    <row r="2838" spans="28:31">
      <c r="AB2838" s="1227"/>
      <c r="AC2838" s="1227"/>
      <c r="AD2838" s="1227"/>
      <c r="AE2838" s="1227"/>
    </row>
    <row r="2839" spans="28:31">
      <c r="AB2839" s="1227"/>
      <c r="AC2839" s="1227"/>
      <c r="AD2839" s="1227"/>
      <c r="AE2839" s="1227"/>
    </row>
    <row r="2840" spans="28:31">
      <c r="AB2840" s="1227"/>
      <c r="AC2840" s="1227"/>
      <c r="AD2840" s="1227"/>
      <c r="AE2840" s="1227"/>
    </row>
    <row r="2841" spans="28:31">
      <c r="AB2841" s="1227"/>
      <c r="AC2841" s="1227"/>
      <c r="AD2841" s="1227"/>
      <c r="AE2841" s="1227"/>
    </row>
    <row r="2842" spans="28:31">
      <c r="AB2842" s="1227"/>
      <c r="AC2842" s="1227"/>
      <c r="AD2842" s="1227"/>
      <c r="AE2842" s="1227"/>
    </row>
    <row r="2843" spans="28:31">
      <c r="AB2843" s="1227"/>
      <c r="AC2843" s="1227"/>
      <c r="AD2843" s="1227"/>
      <c r="AE2843" s="1227"/>
    </row>
    <row r="2844" spans="28:31">
      <c r="AB2844" s="1227"/>
      <c r="AC2844" s="1227"/>
      <c r="AD2844" s="1227"/>
      <c r="AE2844" s="1227"/>
    </row>
    <row r="2845" spans="28:31">
      <c r="AB2845" s="1227"/>
      <c r="AC2845" s="1227"/>
      <c r="AD2845" s="1227"/>
      <c r="AE2845" s="1227"/>
    </row>
    <row r="2846" spans="28:31">
      <c r="AB2846" s="1227"/>
      <c r="AC2846" s="1227"/>
      <c r="AD2846" s="1227"/>
      <c r="AE2846" s="1227"/>
    </row>
    <row r="2847" spans="28:31">
      <c r="AB2847" s="1227"/>
      <c r="AC2847" s="1227"/>
      <c r="AD2847" s="1227"/>
      <c r="AE2847" s="1227"/>
    </row>
    <row r="2848" spans="28:31">
      <c r="AB2848" s="1227"/>
      <c r="AC2848" s="1227"/>
      <c r="AD2848" s="1227"/>
      <c r="AE2848" s="1227"/>
    </row>
    <row r="2849" spans="28:31">
      <c r="AB2849" s="1227"/>
      <c r="AC2849" s="1227"/>
      <c r="AD2849" s="1227"/>
      <c r="AE2849" s="1227"/>
    </row>
    <row r="2850" spans="28:31">
      <c r="AB2850" s="1227"/>
      <c r="AC2850" s="1227"/>
      <c r="AD2850" s="1227"/>
      <c r="AE2850" s="1227"/>
    </row>
    <row r="2851" spans="28:31">
      <c r="AB2851" s="1227"/>
      <c r="AC2851" s="1227"/>
      <c r="AD2851" s="1227"/>
      <c r="AE2851" s="1227"/>
    </row>
    <row r="2852" spans="28:31">
      <c r="AB2852" s="1227"/>
      <c r="AC2852" s="1227"/>
      <c r="AD2852" s="1227"/>
      <c r="AE2852" s="1227"/>
    </row>
    <row r="2853" spans="28:31">
      <c r="AB2853" s="1227"/>
      <c r="AC2853" s="1227"/>
      <c r="AD2853" s="1227"/>
      <c r="AE2853" s="1227"/>
    </row>
    <row r="2854" spans="28:31">
      <c r="AB2854" s="1227"/>
      <c r="AC2854" s="1227"/>
      <c r="AD2854" s="1227"/>
      <c r="AE2854" s="1227"/>
    </row>
    <row r="2855" spans="28:31">
      <c r="AB2855" s="1227"/>
      <c r="AC2855" s="1227"/>
      <c r="AD2855" s="1227"/>
      <c r="AE2855" s="1227"/>
    </row>
    <row r="2856" spans="28:31">
      <c r="AB2856" s="1227"/>
      <c r="AC2856" s="1227"/>
      <c r="AD2856" s="1227"/>
      <c r="AE2856" s="1227"/>
    </row>
    <row r="2857" spans="28:31">
      <c r="AB2857" s="1227"/>
      <c r="AC2857" s="1227"/>
      <c r="AD2857" s="1227"/>
      <c r="AE2857" s="1227"/>
    </row>
    <row r="2858" spans="28:31">
      <c r="AB2858" s="1227"/>
      <c r="AC2858" s="1227"/>
      <c r="AD2858" s="1227"/>
      <c r="AE2858" s="1227"/>
    </row>
    <row r="2859" spans="28:31">
      <c r="AB2859" s="1227"/>
      <c r="AC2859" s="1227"/>
      <c r="AD2859" s="1227"/>
      <c r="AE2859" s="1227"/>
    </row>
    <row r="2860" spans="28:31">
      <c r="AB2860" s="1227"/>
      <c r="AC2860" s="1227"/>
      <c r="AD2860" s="1227"/>
      <c r="AE2860" s="1227"/>
    </row>
    <row r="2861" spans="28:31">
      <c r="AB2861" s="1227"/>
      <c r="AC2861" s="1227"/>
      <c r="AD2861" s="1227"/>
      <c r="AE2861" s="1227"/>
    </row>
    <row r="2862" spans="28:31">
      <c r="AB2862" s="1227"/>
      <c r="AC2862" s="1227"/>
      <c r="AD2862" s="1227"/>
      <c r="AE2862" s="1227"/>
    </row>
    <row r="2863" spans="28:31">
      <c r="AB2863" s="1227"/>
      <c r="AC2863" s="1227"/>
      <c r="AD2863" s="1227"/>
      <c r="AE2863" s="1227"/>
    </row>
    <row r="2864" spans="28:31">
      <c r="AB2864" s="1227"/>
      <c r="AC2864" s="1227"/>
      <c r="AD2864" s="1227"/>
      <c r="AE2864" s="1227"/>
    </row>
    <row r="2865" spans="28:31">
      <c r="AB2865" s="1227"/>
      <c r="AC2865" s="1227"/>
      <c r="AD2865" s="1227"/>
      <c r="AE2865" s="1227"/>
    </row>
    <row r="2866" spans="28:31">
      <c r="AB2866" s="1227"/>
      <c r="AC2866" s="1227"/>
      <c r="AD2866" s="1227"/>
      <c r="AE2866" s="1227"/>
    </row>
    <row r="2867" spans="28:31">
      <c r="AB2867" s="1227"/>
      <c r="AC2867" s="1227"/>
      <c r="AD2867" s="1227"/>
      <c r="AE2867" s="1227"/>
    </row>
    <row r="2868" spans="28:31">
      <c r="AB2868" s="1227"/>
      <c r="AC2868" s="1227"/>
      <c r="AD2868" s="1227"/>
      <c r="AE2868" s="1227"/>
    </row>
    <row r="2869" spans="28:31">
      <c r="AB2869" s="1227"/>
      <c r="AC2869" s="1227"/>
      <c r="AD2869" s="1227"/>
      <c r="AE2869" s="1227"/>
    </row>
    <row r="2870" spans="28:31">
      <c r="AB2870" s="1227"/>
      <c r="AC2870" s="1227"/>
      <c r="AD2870" s="1227"/>
      <c r="AE2870" s="1227"/>
    </row>
    <row r="2871" spans="28:31">
      <c r="AB2871" s="1227"/>
      <c r="AC2871" s="1227"/>
      <c r="AD2871" s="1227"/>
      <c r="AE2871" s="1227"/>
    </row>
    <row r="2872" spans="28:31">
      <c r="AB2872" s="1227"/>
      <c r="AC2872" s="1227"/>
      <c r="AD2872" s="1227"/>
      <c r="AE2872" s="1227"/>
    </row>
    <row r="2873" spans="28:31">
      <c r="AB2873" s="1227"/>
      <c r="AC2873" s="1227"/>
      <c r="AD2873" s="1227"/>
      <c r="AE2873" s="1227"/>
    </row>
    <row r="2874" spans="28:31">
      <c r="AB2874" s="1227"/>
      <c r="AC2874" s="1227"/>
      <c r="AD2874" s="1227"/>
      <c r="AE2874" s="1227"/>
    </row>
    <row r="2875" spans="28:31">
      <c r="AB2875" s="1227"/>
      <c r="AC2875" s="1227"/>
      <c r="AD2875" s="1227"/>
      <c r="AE2875" s="1227"/>
    </row>
    <row r="2876" spans="28:31">
      <c r="AB2876" s="1227"/>
      <c r="AC2876" s="1227"/>
      <c r="AD2876" s="1227"/>
      <c r="AE2876" s="1227"/>
    </row>
    <row r="2877" spans="28:31">
      <c r="AB2877" s="1227"/>
      <c r="AC2877" s="1227"/>
      <c r="AD2877" s="1227"/>
      <c r="AE2877" s="1227"/>
    </row>
    <row r="2878" spans="28:31">
      <c r="AB2878" s="1227"/>
      <c r="AC2878" s="1227"/>
      <c r="AD2878" s="1227"/>
      <c r="AE2878" s="1227"/>
    </row>
    <row r="2879" spans="28:31">
      <c r="AB2879" s="1227"/>
      <c r="AC2879" s="1227"/>
      <c r="AD2879" s="1227"/>
      <c r="AE2879" s="1227"/>
    </row>
    <row r="2880" spans="28:31">
      <c r="AB2880" s="1227"/>
      <c r="AC2880" s="1227"/>
      <c r="AD2880" s="1227"/>
      <c r="AE2880" s="1227"/>
    </row>
    <row r="2881" spans="28:31">
      <c r="AB2881" s="1227"/>
      <c r="AC2881" s="1227"/>
      <c r="AD2881" s="1227"/>
      <c r="AE2881" s="1227"/>
    </row>
    <row r="2882" spans="28:31">
      <c r="AB2882" s="1227"/>
      <c r="AC2882" s="1227"/>
      <c r="AD2882" s="1227"/>
      <c r="AE2882" s="1227"/>
    </row>
    <row r="2883" spans="28:31">
      <c r="AB2883" s="1227"/>
      <c r="AC2883" s="1227"/>
      <c r="AD2883" s="1227"/>
      <c r="AE2883" s="1227"/>
    </row>
    <row r="2884" spans="28:31">
      <c r="AB2884" s="1227"/>
      <c r="AC2884" s="1227"/>
      <c r="AD2884" s="1227"/>
      <c r="AE2884" s="1227"/>
    </row>
    <row r="2885" spans="28:31">
      <c r="AB2885" s="1227"/>
      <c r="AC2885" s="1227"/>
      <c r="AD2885" s="1227"/>
      <c r="AE2885" s="1227"/>
    </row>
    <row r="2886" spans="28:31">
      <c r="AB2886" s="1227"/>
      <c r="AC2886" s="1227"/>
      <c r="AD2886" s="1227"/>
      <c r="AE2886" s="1227"/>
    </row>
    <row r="2887" spans="28:31">
      <c r="AB2887" s="1227"/>
      <c r="AC2887" s="1227"/>
      <c r="AD2887" s="1227"/>
      <c r="AE2887" s="1227"/>
    </row>
    <row r="2888" spans="28:31">
      <c r="AB2888" s="1227"/>
      <c r="AC2888" s="1227"/>
      <c r="AD2888" s="1227"/>
      <c r="AE2888" s="1227"/>
    </row>
    <row r="2889" spans="28:31">
      <c r="AB2889" s="1227"/>
      <c r="AC2889" s="1227"/>
      <c r="AD2889" s="1227"/>
      <c r="AE2889" s="1227"/>
    </row>
    <row r="2890" spans="28:31">
      <c r="AB2890" s="1227"/>
      <c r="AC2890" s="1227"/>
      <c r="AD2890" s="1227"/>
      <c r="AE2890" s="1227"/>
    </row>
    <row r="2891" spans="28:31">
      <c r="AB2891" s="1227"/>
      <c r="AC2891" s="1227"/>
      <c r="AD2891" s="1227"/>
      <c r="AE2891" s="1227"/>
    </row>
    <row r="2892" spans="28:31">
      <c r="AB2892" s="1227"/>
      <c r="AC2892" s="1227"/>
      <c r="AD2892" s="1227"/>
      <c r="AE2892" s="1227"/>
    </row>
    <row r="2893" spans="28:31">
      <c r="AB2893" s="1227"/>
      <c r="AC2893" s="1227"/>
      <c r="AD2893" s="1227"/>
      <c r="AE2893" s="1227"/>
    </row>
    <row r="2894" spans="28:31">
      <c r="AB2894" s="1227"/>
      <c r="AC2894" s="1227"/>
      <c r="AD2894" s="1227"/>
      <c r="AE2894" s="1227"/>
    </row>
    <row r="2895" spans="28:31">
      <c r="AB2895" s="1227"/>
      <c r="AC2895" s="1227"/>
      <c r="AD2895" s="1227"/>
      <c r="AE2895" s="1227"/>
    </row>
    <row r="2896" spans="28:31">
      <c r="AB2896" s="1227"/>
      <c r="AC2896" s="1227"/>
      <c r="AD2896" s="1227"/>
      <c r="AE2896" s="1227"/>
    </row>
    <row r="2897" spans="28:31">
      <c r="AB2897" s="1227"/>
      <c r="AC2897" s="1227"/>
      <c r="AD2897" s="1227"/>
      <c r="AE2897" s="1227"/>
    </row>
    <row r="2898" spans="28:31">
      <c r="AB2898" s="1227"/>
      <c r="AC2898" s="1227"/>
      <c r="AD2898" s="1227"/>
      <c r="AE2898" s="1227"/>
    </row>
    <row r="2899" spans="28:31">
      <c r="AB2899" s="1227"/>
      <c r="AC2899" s="1227"/>
      <c r="AD2899" s="1227"/>
      <c r="AE2899" s="1227"/>
    </row>
    <row r="2900" spans="28:31">
      <c r="AB2900" s="1227"/>
      <c r="AC2900" s="1227"/>
      <c r="AD2900" s="1227"/>
      <c r="AE2900" s="1227"/>
    </row>
    <row r="2901" spans="28:31">
      <c r="AB2901" s="1227"/>
      <c r="AC2901" s="1227"/>
      <c r="AD2901" s="1227"/>
      <c r="AE2901" s="1227"/>
    </row>
    <row r="2902" spans="28:31">
      <c r="AB2902" s="1227"/>
      <c r="AC2902" s="1227"/>
      <c r="AD2902" s="1227"/>
      <c r="AE2902" s="1227"/>
    </row>
    <row r="2903" spans="28:31">
      <c r="AB2903" s="1227"/>
      <c r="AC2903" s="1227"/>
      <c r="AD2903" s="1227"/>
      <c r="AE2903" s="1227"/>
    </row>
    <row r="2904" spans="28:31">
      <c r="AB2904" s="1227"/>
      <c r="AC2904" s="1227"/>
      <c r="AD2904" s="1227"/>
      <c r="AE2904" s="1227"/>
    </row>
    <row r="2905" spans="28:31">
      <c r="AB2905" s="1227"/>
      <c r="AC2905" s="1227"/>
      <c r="AD2905" s="1227"/>
      <c r="AE2905" s="1227"/>
    </row>
    <row r="2906" spans="28:31">
      <c r="AB2906" s="1227"/>
      <c r="AC2906" s="1227"/>
      <c r="AD2906" s="1227"/>
      <c r="AE2906" s="1227"/>
    </row>
    <row r="2907" spans="28:31">
      <c r="AB2907" s="1227"/>
      <c r="AC2907" s="1227"/>
      <c r="AD2907" s="1227"/>
      <c r="AE2907" s="1227"/>
    </row>
    <row r="2908" spans="28:31">
      <c r="AB2908" s="1227"/>
      <c r="AC2908" s="1227"/>
      <c r="AD2908" s="1227"/>
      <c r="AE2908" s="1227"/>
    </row>
    <row r="2909" spans="28:31">
      <c r="AB2909" s="1227"/>
      <c r="AC2909" s="1227"/>
      <c r="AD2909" s="1227"/>
      <c r="AE2909" s="1227"/>
    </row>
    <row r="2910" spans="28:31">
      <c r="AB2910" s="1227"/>
      <c r="AC2910" s="1227"/>
      <c r="AD2910" s="1227"/>
      <c r="AE2910" s="1227"/>
    </row>
    <row r="2911" spans="28:31">
      <c r="AB2911" s="1227"/>
      <c r="AC2911" s="1227"/>
      <c r="AD2911" s="1227"/>
      <c r="AE2911" s="1227"/>
    </row>
    <row r="2912" spans="28:31">
      <c r="AB2912" s="1227"/>
      <c r="AC2912" s="1227"/>
      <c r="AD2912" s="1227"/>
      <c r="AE2912" s="1227"/>
    </row>
    <row r="2913" spans="28:31">
      <c r="AB2913" s="1227"/>
      <c r="AC2913" s="1227"/>
      <c r="AD2913" s="1227"/>
      <c r="AE2913" s="1227"/>
    </row>
    <row r="2914" spans="28:31">
      <c r="AB2914" s="1227"/>
      <c r="AC2914" s="1227"/>
      <c r="AD2914" s="1227"/>
      <c r="AE2914" s="1227"/>
    </row>
    <row r="2915" spans="28:31">
      <c r="AB2915" s="1227"/>
      <c r="AC2915" s="1227"/>
      <c r="AD2915" s="1227"/>
      <c r="AE2915" s="1227"/>
    </row>
    <row r="2916" spans="28:31">
      <c r="AB2916" s="1227"/>
      <c r="AC2916" s="1227"/>
      <c r="AD2916" s="1227"/>
      <c r="AE2916" s="1227"/>
    </row>
    <row r="2917" spans="28:31">
      <c r="AB2917" s="1227"/>
      <c r="AC2917" s="1227"/>
      <c r="AD2917" s="1227"/>
      <c r="AE2917" s="1227"/>
    </row>
    <row r="2918" spans="28:31">
      <c r="AB2918" s="1227"/>
      <c r="AC2918" s="1227"/>
      <c r="AD2918" s="1227"/>
      <c r="AE2918" s="1227"/>
    </row>
    <row r="2919" spans="28:31">
      <c r="AB2919" s="1227"/>
      <c r="AC2919" s="1227"/>
      <c r="AD2919" s="1227"/>
      <c r="AE2919" s="1227"/>
    </row>
    <row r="2920" spans="28:31">
      <c r="AB2920" s="1227"/>
      <c r="AC2920" s="1227"/>
      <c r="AD2920" s="1227"/>
      <c r="AE2920" s="1227"/>
    </row>
    <row r="2921" spans="28:31">
      <c r="AB2921" s="1227"/>
      <c r="AC2921" s="1227"/>
      <c r="AD2921" s="1227"/>
      <c r="AE2921" s="1227"/>
    </row>
    <row r="2922" spans="28:31">
      <c r="AB2922" s="1227"/>
      <c r="AC2922" s="1227"/>
      <c r="AD2922" s="1227"/>
      <c r="AE2922" s="1227"/>
    </row>
    <row r="2923" spans="28:31">
      <c r="AB2923" s="1227"/>
      <c r="AC2923" s="1227"/>
      <c r="AD2923" s="1227"/>
      <c r="AE2923" s="1227"/>
    </row>
    <row r="2924" spans="28:31">
      <c r="AB2924" s="1227"/>
      <c r="AC2924" s="1227"/>
      <c r="AD2924" s="1227"/>
      <c r="AE2924" s="1227"/>
    </row>
    <row r="2925" spans="28:31">
      <c r="AB2925" s="1227"/>
      <c r="AC2925" s="1227"/>
      <c r="AD2925" s="1227"/>
      <c r="AE2925" s="1227"/>
    </row>
    <row r="2926" spans="28:31">
      <c r="AB2926" s="1227"/>
      <c r="AC2926" s="1227"/>
      <c r="AD2926" s="1227"/>
      <c r="AE2926" s="1227"/>
    </row>
    <row r="2927" spans="28:31">
      <c r="AB2927" s="1227"/>
      <c r="AC2927" s="1227"/>
      <c r="AD2927" s="1227"/>
      <c r="AE2927" s="1227"/>
    </row>
    <row r="2928" spans="28:31">
      <c r="AB2928" s="1227"/>
      <c r="AC2928" s="1227"/>
      <c r="AD2928" s="1227"/>
      <c r="AE2928" s="1227"/>
    </row>
    <row r="2929" spans="28:31">
      <c r="AB2929" s="1227"/>
      <c r="AC2929" s="1227"/>
      <c r="AD2929" s="1227"/>
      <c r="AE2929" s="1227"/>
    </row>
    <row r="2930" spans="28:31">
      <c r="AB2930" s="1227"/>
      <c r="AC2930" s="1227"/>
      <c r="AD2930" s="1227"/>
      <c r="AE2930" s="1227"/>
    </row>
    <row r="2931" spans="28:31">
      <c r="AB2931" s="1227"/>
      <c r="AC2931" s="1227"/>
      <c r="AD2931" s="1227"/>
      <c r="AE2931" s="1227"/>
    </row>
    <row r="2932" spans="28:31">
      <c r="AB2932" s="1227"/>
      <c r="AC2932" s="1227"/>
      <c r="AD2932" s="1227"/>
      <c r="AE2932" s="1227"/>
    </row>
    <row r="2933" spans="28:31">
      <c r="AB2933" s="1227"/>
      <c r="AC2933" s="1227"/>
      <c r="AD2933" s="1227"/>
      <c r="AE2933" s="1227"/>
    </row>
    <row r="2934" spans="28:31">
      <c r="AB2934" s="1227"/>
      <c r="AC2934" s="1227"/>
      <c r="AD2934" s="1227"/>
      <c r="AE2934" s="1227"/>
    </row>
    <row r="2935" spans="28:31">
      <c r="AB2935" s="1227"/>
      <c r="AC2935" s="1227"/>
      <c r="AD2935" s="1227"/>
      <c r="AE2935" s="1227"/>
    </row>
    <row r="2936" spans="28:31">
      <c r="AB2936" s="1227"/>
      <c r="AC2936" s="1227"/>
      <c r="AD2936" s="1227"/>
      <c r="AE2936" s="1227"/>
    </row>
    <row r="2937" spans="28:31">
      <c r="AB2937" s="1227"/>
      <c r="AC2937" s="1227"/>
      <c r="AD2937" s="1227"/>
      <c r="AE2937" s="1227"/>
    </row>
    <row r="2938" spans="28:31">
      <c r="AB2938" s="1227"/>
      <c r="AC2938" s="1227"/>
      <c r="AD2938" s="1227"/>
      <c r="AE2938" s="1227"/>
    </row>
    <row r="2939" spans="28:31">
      <c r="AB2939" s="1227"/>
      <c r="AC2939" s="1227"/>
      <c r="AD2939" s="1227"/>
      <c r="AE2939" s="1227"/>
    </row>
    <row r="2940" spans="28:31">
      <c r="AB2940" s="1227"/>
      <c r="AC2940" s="1227"/>
      <c r="AD2940" s="1227"/>
      <c r="AE2940" s="1227"/>
    </row>
    <row r="2941" spans="28:31">
      <c r="AB2941" s="1227"/>
      <c r="AC2941" s="1227"/>
      <c r="AD2941" s="1227"/>
      <c r="AE2941" s="1227"/>
    </row>
    <row r="2942" spans="28:31">
      <c r="AB2942" s="1227"/>
      <c r="AC2942" s="1227"/>
      <c r="AD2942" s="1227"/>
      <c r="AE2942" s="1227"/>
    </row>
    <row r="2943" spans="28:31">
      <c r="AB2943" s="1227"/>
      <c r="AC2943" s="1227"/>
      <c r="AD2943" s="1227"/>
      <c r="AE2943" s="1227"/>
    </row>
    <row r="2944" spans="28:31">
      <c r="AB2944" s="1227"/>
      <c r="AC2944" s="1227"/>
      <c r="AD2944" s="1227"/>
      <c r="AE2944" s="1227"/>
    </row>
    <row r="2945" spans="28:31">
      <c r="AB2945" s="1227"/>
      <c r="AC2945" s="1227"/>
      <c r="AD2945" s="1227"/>
      <c r="AE2945" s="1227"/>
    </row>
    <row r="2946" spans="28:31">
      <c r="AB2946" s="1227"/>
      <c r="AC2946" s="1227"/>
      <c r="AD2946" s="1227"/>
      <c r="AE2946" s="1227"/>
    </row>
    <row r="2947" spans="28:31">
      <c r="AB2947" s="1227"/>
      <c r="AC2947" s="1227"/>
      <c r="AD2947" s="1227"/>
      <c r="AE2947" s="1227"/>
    </row>
    <row r="2948" spans="28:31">
      <c r="AB2948" s="1227"/>
      <c r="AC2948" s="1227"/>
      <c r="AD2948" s="1227"/>
      <c r="AE2948" s="1227"/>
    </row>
    <row r="2949" spans="28:31">
      <c r="AB2949" s="1227"/>
      <c r="AC2949" s="1227"/>
      <c r="AD2949" s="1227"/>
      <c r="AE2949" s="1227"/>
    </row>
    <row r="2950" spans="28:31">
      <c r="AB2950" s="1227"/>
      <c r="AC2950" s="1227"/>
      <c r="AD2950" s="1227"/>
      <c r="AE2950" s="1227"/>
    </row>
    <row r="2951" spans="28:31">
      <c r="AB2951" s="1227"/>
      <c r="AC2951" s="1227"/>
      <c r="AD2951" s="1227"/>
      <c r="AE2951" s="1227"/>
    </row>
    <row r="2952" spans="28:31">
      <c r="AB2952" s="1227"/>
      <c r="AC2952" s="1227"/>
      <c r="AD2952" s="1227"/>
      <c r="AE2952" s="1227"/>
    </row>
    <row r="2953" spans="28:31">
      <c r="AB2953" s="1227"/>
      <c r="AC2953" s="1227"/>
      <c r="AD2953" s="1227"/>
      <c r="AE2953" s="1227"/>
    </row>
    <row r="2954" spans="28:31">
      <c r="AB2954" s="1227"/>
      <c r="AC2954" s="1227"/>
      <c r="AD2954" s="1227"/>
      <c r="AE2954" s="1227"/>
    </row>
    <row r="2955" spans="28:31">
      <c r="AB2955" s="1227"/>
      <c r="AC2955" s="1227"/>
      <c r="AD2955" s="1227"/>
      <c r="AE2955" s="1227"/>
    </row>
    <row r="2956" spans="28:31">
      <c r="AB2956" s="1227"/>
      <c r="AC2956" s="1227"/>
      <c r="AD2956" s="1227"/>
      <c r="AE2956" s="1227"/>
    </row>
    <row r="2957" spans="28:31">
      <c r="AB2957" s="1227"/>
      <c r="AC2957" s="1227"/>
      <c r="AD2957" s="1227"/>
      <c r="AE2957" s="1227"/>
    </row>
    <row r="2958" spans="28:31">
      <c r="AB2958" s="1227"/>
      <c r="AC2958" s="1227"/>
      <c r="AD2958" s="1227"/>
      <c r="AE2958" s="1227"/>
    </row>
    <row r="2959" spans="28:31">
      <c r="AB2959" s="1227"/>
      <c r="AC2959" s="1227"/>
      <c r="AD2959" s="1227"/>
      <c r="AE2959" s="1227"/>
    </row>
    <row r="2960" spans="28:31">
      <c r="AB2960" s="1227"/>
      <c r="AC2960" s="1227"/>
      <c r="AD2960" s="1227"/>
      <c r="AE2960" s="1227"/>
    </row>
    <row r="2961" spans="28:31">
      <c r="AB2961" s="1227"/>
      <c r="AC2961" s="1227"/>
      <c r="AD2961" s="1227"/>
      <c r="AE2961" s="1227"/>
    </row>
    <row r="2962" spans="28:31">
      <c r="AB2962" s="1227"/>
      <c r="AC2962" s="1227"/>
      <c r="AD2962" s="1227"/>
      <c r="AE2962" s="1227"/>
    </row>
    <row r="2963" spans="28:31">
      <c r="AB2963" s="1227"/>
      <c r="AC2963" s="1227"/>
      <c r="AD2963" s="1227"/>
      <c r="AE2963" s="1227"/>
    </row>
    <row r="2964" spans="28:31">
      <c r="AB2964" s="1227"/>
      <c r="AC2964" s="1227"/>
      <c r="AD2964" s="1227"/>
      <c r="AE2964" s="1227"/>
    </row>
    <row r="2965" spans="28:31">
      <c r="AB2965" s="1227"/>
      <c r="AC2965" s="1227"/>
      <c r="AD2965" s="1227"/>
      <c r="AE2965" s="1227"/>
    </row>
    <row r="2966" spans="28:31">
      <c r="AB2966" s="1227"/>
      <c r="AC2966" s="1227"/>
      <c r="AD2966" s="1227"/>
      <c r="AE2966" s="1227"/>
    </row>
    <row r="2967" spans="28:31">
      <c r="AB2967" s="1227"/>
      <c r="AC2967" s="1227"/>
      <c r="AD2967" s="1227"/>
      <c r="AE2967" s="1227"/>
    </row>
    <row r="2968" spans="28:31">
      <c r="AB2968" s="1227"/>
      <c r="AC2968" s="1227"/>
      <c r="AD2968" s="1227"/>
      <c r="AE2968" s="1227"/>
    </row>
    <row r="2969" spans="28:31">
      <c r="AB2969" s="1227"/>
      <c r="AC2969" s="1227"/>
      <c r="AD2969" s="1227"/>
      <c r="AE2969" s="1227"/>
    </row>
    <row r="2970" spans="28:31">
      <c r="AB2970" s="1227"/>
      <c r="AC2970" s="1227"/>
      <c r="AD2970" s="1227"/>
      <c r="AE2970" s="1227"/>
    </row>
    <row r="2971" spans="28:31">
      <c r="AB2971" s="1227"/>
      <c r="AC2971" s="1227"/>
      <c r="AD2971" s="1227"/>
      <c r="AE2971" s="1227"/>
    </row>
    <row r="2972" spans="28:31">
      <c r="AB2972" s="1227"/>
      <c r="AC2972" s="1227"/>
      <c r="AD2972" s="1227"/>
      <c r="AE2972" s="1227"/>
    </row>
    <row r="2973" spans="28:31">
      <c r="AB2973" s="1227"/>
      <c r="AC2973" s="1227"/>
      <c r="AD2973" s="1227"/>
      <c r="AE2973" s="1227"/>
    </row>
    <row r="2974" spans="28:31">
      <c r="AB2974" s="1227"/>
      <c r="AC2974" s="1227"/>
      <c r="AD2974" s="1227"/>
      <c r="AE2974" s="1227"/>
    </row>
    <row r="2975" spans="28:31">
      <c r="AB2975" s="1227"/>
      <c r="AC2975" s="1227"/>
      <c r="AD2975" s="1227"/>
      <c r="AE2975" s="1227"/>
    </row>
    <row r="2976" spans="28:31">
      <c r="AB2976" s="1227"/>
      <c r="AC2976" s="1227"/>
      <c r="AD2976" s="1227"/>
      <c r="AE2976" s="1227"/>
    </row>
    <row r="2977" spans="28:31">
      <c r="AB2977" s="1227"/>
      <c r="AC2977" s="1227"/>
      <c r="AD2977" s="1227"/>
      <c r="AE2977" s="1227"/>
    </row>
    <row r="2978" spans="28:31">
      <c r="AB2978" s="1227"/>
      <c r="AC2978" s="1227"/>
      <c r="AD2978" s="1227"/>
      <c r="AE2978" s="1227"/>
    </row>
    <row r="2979" spans="28:31">
      <c r="AB2979" s="1227"/>
      <c r="AC2979" s="1227"/>
      <c r="AD2979" s="1227"/>
      <c r="AE2979" s="1227"/>
    </row>
    <row r="2980" spans="28:31">
      <c r="AB2980" s="1227"/>
      <c r="AC2980" s="1227"/>
      <c r="AD2980" s="1227"/>
      <c r="AE2980" s="1227"/>
    </row>
    <row r="2981" spans="28:31">
      <c r="AB2981" s="1227"/>
      <c r="AC2981" s="1227"/>
      <c r="AD2981" s="1227"/>
      <c r="AE2981" s="1227"/>
    </row>
    <row r="2982" spans="28:31">
      <c r="AB2982" s="1227"/>
      <c r="AC2982" s="1227"/>
      <c r="AD2982" s="1227"/>
      <c r="AE2982" s="1227"/>
    </row>
    <row r="2983" spans="28:31">
      <c r="AB2983" s="1227"/>
      <c r="AC2983" s="1227"/>
      <c r="AD2983" s="1227"/>
      <c r="AE2983" s="1227"/>
    </row>
    <row r="2984" spans="28:31">
      <c r="AB2984" s="1227"/>
      <c r="AC2984" s="1227"/>
      <c r="AD2984" s="1227"/>
      <c r="AE2984" s="1227"/>
    </row>
    <row r="2985" spans="28:31">
      <c r="AB2985" s="1227"/>
      <c r="AC2985" s="1227"/>
      <c r="AD2985" s="1227"/>
      <c r="AE2985" s="1227"/>
    </row>
    <row r="2986" spans="28:31">
      <c r="AB2986" s="1227"/>
      <c r="AC2986" s="1227"/>
      <c r="AD2986" s="1227"/>
      <c r="AE2986" s="1227"/>
    </row>
    <row r="2987" spans="28:31">
      <c r="AB2987" s="1227"/>
      <c r="AC2987" s="1227"/>
      <c r="AD2987" s="1227"/>
      <c r="AE2987" s="1227"/>
    </row>
    <row r="2988" spans="28:31">
      <c r="AB2988" s="1227"/>
      <c r="AC2988" s="1227"/>
      <c r="AD2988" s="1227"/>
      <c r="AE2988" s="1227"/>
    </row>
    <row r="2989" spans="28:31">
      <c r="AB2989" s="1227"/>
      <c r="AC2989" s="1227"/>
      <c r="AD2989" s="1227"/>
      <c r="AE2989" s="1227"/>
    </row>
    <row r="2990" spans="28:31">
      <c r="AB2990" s="1227"/>
      <c r="AC2990" s="1227"/>
      <c r="AD2990" s="1227"/>
      <c r="AE2990" s="1227"/>
    </row>
    <row r="2991" spans="28:31">
      <c r="AB2991" s="1227"/>
      <c r="AC2991" s="1227"/>
      <c r="AD2991" s="1227"/>
      <c r="AE2991" s="1227"/>
    </row>
    <row r="2992" spans="28:31">
      <c r="AB2992" s="1227"/>
      <c r="AC2992" s="1227"/>
      <c r="AD2992" s="1227"/>
      <c r="AE2992" s="1227"/>
    </row>
    <row r="2993" spans="28:31">
      <c r="AB2993" s="1227"/>
      <c r="AC2993" s="1227"/>
      <c r="AD2993" s="1227"/>
      <c r="AE2993" s="1227"/>
    </row>
    <row r="2994" spans="28:31">
      <c r="AB2994" s="1227"/>
      <c r="AC2994" s="1227"/>
      <c r="AD2994" s="1227"/>
      <c r="AE2994" s="1227"/>
    </row>
    <row r="2995" spans="28:31">
      <c r="AB2995" s="1227"/>
      <c r="AC2995" s="1227"/>
      <c r="AD2995" s="1227"/>
      <c r="AE2995" s="1227"/>
    </row>
    <row r="2996" spans="28:31">
      <c r="AB2996" s="1227"/>
      <c r="AC2996" s="1227"/>
      <c r="AD2996" s="1227"/>
      <c r="AE2996" s="1227"/>
    </row>
    <row r="2997" spans="28:31">
      <c r="AB2997" s="1227"/>
      <c r="AC2997" s="1227"/>
      <c r="AD2997" s="1227"/>
      <c r="AE2997" s="1227"/>
    </row>
    <row r="2998" spans="28:31">
      <c r="AB2998" s="1227"/>
      <c r="AC2998" s="1227"/>
      <c r="AD2998" s="1227"/>
      <c r="AE2998" s="1227"/>
    </row>
    <row r="2999" spans="28:31">
      <c r="AB2999" s="1227"/>
      <c r="AC2999" s="1227"/>
      <c r="AD2999" s="1227"/>
      <c r="AE2999" s="1227"/>
    </row>
    <row r="3000" spans="28:31">
      <c r="AB3000" s="1227"/>
      <c r="AC3000" s="1227"/>
      <c r="AD3000" s="1227"/>
      <c r="AE3000" s="1227"/>
    </row>
    <row r="3001" spans="28:31">
      <c r="AB3001" s="1227"/>
      <c r="AC3001" s="1227"/>
      <c r="AD3001" s="1227"/>
      <c r="AE3001" s="1227"/>
    </row>
    <row r="3002" spans="28:31">
      <c r="AB3002" s="1227"/>
      <c r="AC3002" s="1227"/>
      <c r="AD3002" s="1227"/>
      <c r="AE3002" s="1227"/>
    </row>
    <row r="3003" spans="28:31">
      <c r="AB3003" s="1227"/>
      <c r="AC3003" s="1227"/>
      <c r="AD3003" s="1227"/>
      <c r="AE3003" s="1227"/>
    </row>
    <row r="3004" spans="28:31">
      <c r="AB3004" s="1227"/>
      <c r="AC3004" s="1227"/>
      <c r="AD3004" s="1227"/>
      <c r="AE3004" s="1227"/>
    </row>
    <row r="3005" spans="28:31">
      <c r="AB3005" s="1227"/>
      <c r="AC3005" s="1227"/>
      <c r="AD3005" s="1227"/>
      <c r="AE3005" s="1227"/>
    </row>
    <row r="3006" spans="28:31">
      <c r="AB3006" s="1227"/>
      <c r="AC3006" s="1227"/>
      <c r="AD3006" s="1227"/>
      <c r="AE3006" s="1227"/>
    </row>
    <row r="3007" spans="28:31">
      <c r="AB3007" s="1227"/>
      <c r="AC3007" s="1227"/>
      <c r="AD3007" s="1227"/>
      <c r="AE3007" s="1227"/>
    </row>
    <row r="3008" spans="28:31">
      <c r="AB3008" s="1227"/>
      <c r="AC3008" s="1227"/>
      <c r="AD3008" s="1227"/>
      <c r="AE3008" s="1227"/>
    </row>
    <row r="3009" spans="28:31">
      <c r="AB3009" s="1227"/>
      <c r="AC3009" s="1227"/>
      <c r="AD3009" s="1227"/>
      <c r="AE3009" s="1227"/>
    </row>
    <row r="3010" spans="28:31">
      <c r="AB3010" s="1227"/>
      <c r="AC3010" s="1227"/>
      <c r="AD3010" s="1227"/>
      <c r="AE3010" s="1227"/>
    </row>
    <row r="3011" spans="28:31">
      <c r="AB3011" s="1227"/>
      <c r="AC3011" s="1227"/>
      <c r="AD3011" s="1227"/>
      <c r="AE3011" s="1227"/>
    </row>
    <row r="3012" spans="28:31">
      <c r="AB3012" s="1227"/>
      <c r="AC3012" s="1227"/>
      <c r="AD3012" s="1227"/>
      <c r="AE3012" s="1227"/>
    </row>
    <row r="3013" spans="28:31">
      <c r="AB3013" s="1227"/>
      <c r="AC3013" s="1227"/>
      <c r="AD3013" s="1227"/>
      <c r="AE3013" s="1227"/>
    </row>
    <row r="3014" spans="28:31">
      <c r="AB3014" s="1227"/>
      <c r="AC3014" s="1227"/>
      <c r="AD3014" s="1227"/>
      <c r="AE3014" s="1227"/>
    </row>
    <row r="3015" spans="28:31">
      <c r="AB3015" s="1227"/>
      <c r="AC3015" s="1227"/>
      <c r="AD3015" s="1227"/>
      <c r="AE3015" s="1227"/>
    </row>
    <row r="3016" spans="28:31">
      <c r="AB3016" s="1227"/>
      <c r="AC3016" s="1227"/>
      <c r="AD3016" s="1227"/>
      <c r="AE3016" s="1227"/>
    </row>
    <row r="3017" spans="28:31">
      <c r="AB3017" s="1227"/>
      <c r="AC3017" s="1227"/>
      <c r="AD3017" s="1227"/>
      <c r="AE3017" s="1227"/>
    </row>
    <row r="3018" spans="28:31">
      <c r="AB3018" s="1227"/>
      <c r="AC3018" s="1227"/>
      <c r="AD3018" s="1227"/>
      <c r="AE3018" s="1227"/>
    </row>
    <row r="3019" spans="28:31">
      <c r="AB3019" s="1227"/>
      <c r="AC3019" s="1227"/>
      <c r="AD3019" s="1227"/>
      <c r="AE3019" s="1227"/>
    </row>
    <row r="3020" spans="28:31">
      <c r="AB3020" s="1227"/>
      <c r="AC3020" s="1227"/>
      <c r="AD3020" s="1227"/>
      <c r="AE3020" s="1227"/>
    </row>
    <row r="3021" spans="28:31">
      <c r="AB3021" s="1227"/>
      <c r="AC3021" s="1227"/>
      <c r="AD3021" s="1227"/>
      <c r="AE3021" s="1227"/>
    </row>
    <row r="3022" spans="28:31">
      <c r="AB3022" s="1227"/>
      <c r="AC3022" s="1227"/>
      <c r="AD3022" s="1227"/>
      <c r="AE3022" s="1227"/>
    </row>
    <row r="3023" spans="28:31">
      <c r="AB3023" s="1227"/>
      <c r="AC3023" s="1227"/>
      <c r="AD3023" s="1227"/>
      <c r="AE3023" s="1227"/>
    </row>
    <row r="3024" spans="28:31">
      <c r="AB3024" s="1227"/>
      <c r="AC3024" s="1227"/>
      <c r="AD3024" s="1227"/>
      <c r="AE3024" s="1227"/>
    </row>
    <row r="3025" spans="28:31">
      <c r="AB3025" s="1227"/>
      <c r="AC3025" s="1227"/>
      <c r="AD3025" s="1227"/>
      <c r="AE3025" s="1227"/>
    </row>
    <row r="3026" spans="28:31">
      <c r="AB3026" s="1227"/>
      <c r="AC3026" s="1227"/>
      <c r="AD3026" s="1227"/>
      <c r="AE3026" s="1227"/>
    </row>
    <row r="3027" spans="28:31">
      <c r="AB3027" s="1227"/>
      <c r="AC3027" s="1227"/>
      <c r="AD3027" s="1227"/>
      <c r="AE3027" s="1227"/>
    </row>
    <row r="3028" spans="28:31">
      <c r="AB3028" s="1227"/>
      <c r="AC3028" s="1227"/>
      <c r="AD3028" s="1227"/>
      <c r="AE3028" s="1227"/>
    </row>
    <row r="3029" spans="28:31">
      <c r="AB3029" s="1227"/>
      <c r="AC3029" s="1227"/>
      <c r="AD3029" s="1227"/>
      <c r="AE3029" s="1227"/>
    </row>
    <row r="3030" spans="28:31">
      <c r="AB3030" s="1227"/>
      <c r="AC3030" s="1227"/>
      <c r="AD3030" s="1227"/>
      <c r="AE3030" s="1227"/>
    </row>
    <row r="3031" spans="28:31">
      <c r="AB3031" s="1227"/>
      <c r="AC3031" s="1227"/>
      <c r="AD3031" s="1227"/>
      <c r="AE3031" s="1227"/>
    </row>
    <row r="3032" spans="28:31">
      <c r="AB3032" s="1227"/>
      <c r="AC3032" s="1227"/>
      <c r="AD3032" s="1227"/>
      <c r="AE3032" s="1227"/>
    </row>
    <row r="3033" spans="28:31">
      <c r="AB3033" s="1227"/>
      <c r="AC3033" s="1227"/>
      <c r="AD3033" s="1227"/>
      <c r="AE3033" s="1227"/>
    </row>
    <row r="3034" spans="28:31">
      <c r="AB3034" s="1227"/>
      <c r="AC3034" s="1227"/>
      <c r="AD3034" s="1227"/>
      <c r="AE3034" s="1227"/>
    </row>
    <row r="3035" spans="28:31">
      <c r="AB3035" s="1227"/>
      <c r="AC3035" s="1227"/>
      <c r="AD3035" s="1227"/>
      <c r="AE3035" s="1227"/>
    </row>
    <row r="3036" spans="28:31">
      <c r="AB3036" s="1227"/>
      <c r="AC3036" s="1227"/>
      <c r="AD3036" s="1227"/>
      <c r="AE3036" s="1227"/>
    </row>
    <row r="3037" spans="28:31">
      <c r="AB3037" s="1227"/>
      <c r="AC3037" s="1227"/>
      <c r="AD3037" s="1227"/>
      <c r="AE3037" s="1227"/>
    </row>
    <row r="3038" spans="28:31">
      <c r="AB3038" s="1227"/>
      <c r="AC3038" s="1227"/>
      <c r="AD3038" s="1227"/>
      <c r="AE3038" s="1227"/>
    </row>
    <row r="3039" spans="28:31">
      <c r="AB3039" s="1227"/>
      <c r="AC3039" s="1227"/>
      <c r="AD3039" s="1227"/>
      <c r="AE3039" s="1227"/>
    </row>
    <row r="3040" spans="28:31">
      <c r="AB3040" s="1227"/>
      <c r="AC3040" s="1227"/>
      <c r="AD3040" s="1227"/>
      <c r="AE3040" s="1227"/>
    </row>
    <row r="3041" spans="28:31">
      <c r="AB3041" s="1227"/>
      <c r="AC3041" s="1227"/>
      <c r="AD3041" s="1227"/>
      <c r="AE3041" s="1227"/>
    </row>
    <row r="3042" spans="28:31">
      <c r="AB3042" s="1227"/>
      <c r="AC3042" s="1227"/>
      <c r="AD3042" s="1227"/>
      <c r="AE3042" s="1227"/>
    </row>
    <row r="3043" spans="28:31">
      <c r="AB3043" s="1227"/>
      <c r="AC3043" s="1227"/>
      <c r="AD3043" s="1227"/>
      <c r="AE3043" s="1227"/>
    </row>
    <row r="3044" spans="28:31">
      <c r="AB3044" s="1227"/>
      <c r="AC3044" s="1227"/>
      <c r="AD3044" s="1227"/>
      <c r="AE3044" s="1227"/>
    </row>
    <row r="3045" spans="28:31">
      <c r="AB3045" s="1227"/>
      <c r="AC3045" s="1227"/>
      <c r="AD3045" s="1227"/>
      <c r="AE3045" s="1227"/>
    </row>
    <row r="3046" spans="28:31">
      <c r="AB3046" s="1227"/>
      <c r="AC3046" s="1227"/>
      <c r="AD3046" s="1227"/>
      <c r="AE3046" s="1227"/>
    </row>
    <row r="3047" spans="28:31">
      <c r="AB3047" s="1227"/>
      <c r="AC3047" s="1227"/>
      <c r="AD3047" s="1227"/>
      <c r="AE3047" s="1227"/>
    </row>
    <row r="3048" spans="28:31">
      <c r="AB3048" s="1227"/>
      <c r="AC3048" s="1227"/>
      <c r="AD3048" s="1227"/>
      <c r="AE3048" s="1227"/>
    </row>
    <row r="3049" spans="28:31">
      <c r="AB3049" s="1227"/>
      <c r="AC3049" s="1227"/>
      <c r="AD3049" s="1227"/>
      <c r="AE3049" s="1227"/>
    </row>
    <row r="3050" spans="28:31">
      <c r="AB3050" s="1227"/>
      <c r="AC3050" s="1227"/>
      <c r="AD3050" s="1227"/>
      <c r="AE3050" s="1227"/>
    </row>
    <row r="3051" spans="28:31">
      <c r="AB3051" s="1227"/>
      <c r="AC3051" s="1227"/>
      <c r="AD3051" s="1227"/>
      <c r="AE3051" s="1227"/>
    </row>
    <row r="3052" spans="28:31">
      <c r="AB3052" s="1227"/>
      <c r="AC3052" s="1227"/>
      <c r="AD3052" s="1227"/>
      <c r="AE3052" s="1227"/>
    </row>
    <row r="3053" spans="28:31">
      <c r="AB3053" s="1227"/>
      <c r="AC3053" s="1227"/>
      <c r="AD3053" s="1227"/>
      <c r="AE3053" s="1227"/>
    </row>
    <row r="3054" spans="28:31">
      <c r="AB3054" s="1227"/>
      <c r="AC3054" s="1227"/>
      <c r="AD3054" s="1227"/>
      <c r="AE3054" s="1227"/>
    </row>
    <row r="3055" spans="28:31">
      <c r="AB3055" s="1227"/>
      <c r="AC3055" s="1227"/>
      <c r="AD3055" s="1227"/>
      <c r="AE3055" s="1227"/>
    </row>
    <row r="3056" spans="28:31">
      <c r="AB3056" s="1227"/>
      <c r="AC3056" s="1227"/>
      <c r="AD3056" s="1227"/>
      <c r="AE3056" s="1227"/>
    </row>
    <row r="3057" spans="28:31">
      <c r="AB3057" s="1227"/>
      <c r="AC3057" s="1227"/>
      <c r="AD3057" s="1227"/>
      <c r="AE3057" s="1227"/>
    </row>
    <row r="3058" spans="28:31">
      <c r="AB3058" s="1227"/>
      <c r="AC3058" s="1227"/>
      <c r="AD3058" s="1227"/>
      <c r="AE3058" s="1227"/>
    </row>
    <row r="3059" spans="28:31">
      <c r="AB3059" s="1227"/>
      <c r="AC3059" s="1227"/>
      <c r="AD3059" s="1227"/>
      <c r="AE3059" s="1227"/>
    </row>
    <row r="3060" spans="28:31">
      <c r="AB3060" s="1227"/>
      <c r="AC3060" s="1227"/>
      <c r="AD3060" s="1227"/>
      <c r="AE3060" s="1227"/>
    </row>
    <row r="3061" spans="28:31">
      <c r="AB3061" s="1227"/>
      <c r="AC3061" s="1227"/>
      <c r="AD3061" s="1227"/>
      <c r="AE3061" s="1227"/>
    </row>
    <row r="3062" spans="28:31">
      <c r="AB3062" s="1227"/>
      <c r="AC3062" s="1227"/>
      <c r="AD3062" s="1227"/>
      <c r="AE3062" s="1227"/>
    </row>
    <row r="3063" spans="28:31">
      <c r="AB3063" s="1227"/>
      <c r="AC3063" s="1227"/>
      <c r="AD3063" s="1227"/>
      <c r="AE3063" s="1227"/>
    </row>
    <row r="3064" spans="28:31">
      <c r="AB3064" s="1227"/>
      <c r="AC3064" s="1227"/>
      <c r="AD3064" s="1227"/>
      <c r="AE3064" s="1227"/>
    </row>
    <row r="3065" spans="28:31">
      <c r="AB3065" s="1227"/>
      <c r="AC3065" s="1227"/>
      <c r="AD3065" s="1227"/>
      <c r="AE3065" s="1227"/>
    </row>
    <row r="3066" spans="28:31">
      <c r="AB3066" s="1227"/>
      <c r="AC3066" s="1227"/>
      <c r="AD3066" s="1227"/>
      <c r="AE3066" s="1227"/>
    </row>
    <row r="3067" spans="28:31">
      <c r="AB3067" s="1227"/>
      <c r="AC3067" s="1227"/>
      <c r="AD3067" s="1227"/>
      <c r="AE3067" s="1227"/>
    </row>
    <row r="3068" spans="28:31">
      <c r="AB3068" s="1227"/>
      <c r="AC3068" s="1227"/>
      <c r="AD3068" s="1227"/>
      <c r="AE3068" s="1227"/>
    </row>
    <row r="3069" spans="28:31">
      <c r="AB3069" s="1227"/>
      <c r="AC3069" s="1227"/>
      <c r="AD3069" s="1227"/>
      <c r="AE3069" s="1227"/>
    </row>
    <row r="3070" spans="28:31">
      <c r="AB3070" s="1227"/>
      <c r="AC3070" s="1227"/>
      <c r="AD3070" s="1227"/>
      <c r="AE3070" s="1227"/>
    </row>
    <row r="3071" spans="28:31">
      <c r="AB3071" s="1227"/>
      <c r="AC3071" s="1227"/>
      <c r="AD3071" s="1227"/>
      <c r="AE3071" s="1227"/>
    </row>
    <row r="3072" spans="28:31">
      <c r="AB3072" s="1227"/>
      <c r="AC3072" s="1227"/>
      <c r="AD3072" s="1227"/>
      <c r="AE3072" s="1227"/>
    </row>
    <row r="3073" spans="28:31">
      <c r="AB3073" s="1227"/>
      <c r="AC3073" s="1227"/>
      <c r="AD3073" s="1227"/>
      <c r="AE3073" s="1227"/>
    </row>
    <row r="3074" spans="28:31">
      <c r="AB3074" s="1227"/>
      <c r="AC3074" s="1227"/>
      <c r="AD3074" s="1227"/>
      <c r="AE3074" s="1227"/>
    </row>
    <row r="3075" spans="28:31">
      <c r="AB3075" s="1227"/>
      <c r="AC3075" s="1227"/>
      <c r="AD3075" s="1227"/>
      <c r="AE3075" s="1227"/>
    </row>
    <row r="3076" spans="28:31">
      <c r="AB3076" s="1227"/>
      <c r="AC3076" s="1227"/>
      <c r="AD3076" s="1227"/>
      <c r="AE3076" s="1227"/>
    </row>
    <row r="3077" spans="28:31">
      <c r="AB3077" s="1227"/>
      <c r="AC3077" s="1227"/>
      <c r="AD3077" s="1227"/>
      <c r="AE3077" s="1227"/>
    </row>
    <row r="3078" spans="28:31">
      <c r="AB3078" s="1227"/>
      <c r="AC3078" s="1227"/>
      <c r="AD3078" s="1227"/>
      <c r="AE3078" s="1227"/>
    </row>
    <row r="3079" spans="28:31">
      <c r="AB3079" s="1227"/>
      <c r="AC3079" s="1227"/>
      <c r="AD3079" s="1227"/>
      <c r="AE3079" s="1227"/>
    </row>
    <row r="3080" spans="28:31">
      <c r="AB3080" s="1227"/>
      <c r="AC3080" s="1227"/>
      <c r="AD3080" s="1227"/>
      <c r="AE3080" s="1227"/>
    </row>
    <row r="3081" spans="28:31">
      <c r="AB3081" s="1227"/>
      <c r="AC3081" s="1227"/>
      <c r="AD3081" s="1227"/>
      <c r="AE3081" s="1227"/>
    </row>
    <row r="3082" spans="28:31">
      <c r="AB3082" s="1227"/>
      <c r="AC3082" s="1227"/>
      <c r="AD3082" s="1227"/>
      <c r="AE3082" s="1227"/>
    </row>
    <row r="3083" spans="28:31">
      <c r="AB3083" s="1227"/>
      <c r="AC3083" s="1227"/>
      <c r="AD3083" s="1227"/>
      <c r="AE3083" s="1227"/>
    </row>
    <row r="3084" spans="28:31">
      <c r="AB3084" s="1227"/>
      <c r="AC3084" s="1227"/>
      <c r="AD3084" s="1227"/>
      <c r="AE3084" s="1227"/>
    </row>
    <row r="3085" spans="28:31">
      <c r="AB3085" s="1227"/>
      <c r="AC3085" s="1227"/>
      <c r="AD3085" s="1227"/>
      <c r="AE3085" s="1227"/>
    </row>
    <row r="3086" spans="28:31">
      <c r="AB3086" s="1227"/>
      <c r="AC3086" s="1227"/>
      <c r="AD3086" s="1227"/>
      <c r="AE3086" s="1227"/>
    </row>
    <row r="3087" spans="28:31">
      <c r="AB3087" s="1227"/>
      <c r="AC3087" s="1227"/>
      <c r="AD3087" s="1227"/>
      <c r="AE3087" s="1227"/>
    </row>
    <row r="3088" spans="28:31">
      <c r="AB3088" s="1227"/>
      <c r="AC3088" s="1227"/>
      <c r="AD3088" s="1227"/>
      <c r="AE3088" s="1227"/>
    </row>
    <row r="3089" spans="28:31">
      <c r="AB3089" s="1227"/>
      <c r="AC3089" s="1227"/>
      <c r="AD3089" s="1227"/>
      <c r="AE3089" s="1227"/>
    </row>
    <row r="3090" spans="28:31">
      <c r="AB3090" s="1227"/>
      <c r="AC3090" s="1227"/>
      <c r="AD3090" s="1227"/>
      <c r="AE3090" s="1227"/>
    </row>
    <row r="3091" spans="28:31">
      <c r="AB3091" s="1227"/>
      <c r="AC3091" s="1227"/>
      <c r="AD3091" s="1227"/>
      <c r="AE3091" s="1227"/>
    </row>
    <row r="3092" spans="28:31">
      <c r="AB3092" s="1227"/>
      <c r="AC3092" s="1227"/>
      <c r="AD3092" s="1227"/>
      <c r="AE3092" s="1227"/>
    </row>
    <row r="3093" spans="28:31">
      <c r="AB3093" s="1227"/>
      <c r="AC3093" s="1227"/>
      <c r="AD3093" s="1227"/>
      <c r="AE3093" s="1227"/>
    </row>
    <row r="3094" spans="28:31">
      <c r="AB3094" s="1227"/>
      <c r="AC3094" s="1227"/>
      <c r="AD3094" s="1227"/>
      <c r="AE3094" s="1227"/>
    </row>
    <row r="3095" spans="28:31">
      <c r="AB3095" s="1227"/>
      <c r="AC3095" s="1227"/>
      <c r="AD3095" s="1227"/>
      <c r="AE3095" s="1227"/>
    </row>
    <row r="3096" spans="28:31">
      <c r="AB3096" s="1227"/>
      <c r="AC3096" s="1227"/>
      <c r="AD3096" s="1227"/>
      <c r="AE3096" s="1227"/>
    </row>
    <row r="3097" spans="28:31">
      <c r="AB3097" s="1227"/>
      <c r="AC3097" s="1227"/>
      <c r="AD3097" s="1227"/>
      <c r="AE3097" s="1227"/>
    </row>
    <row r="3098" spans="28:31">
      <c r="AB3098" s="1227"/>
      <c r="AC3098" s="1227"/>
      <c r="AD3098" s="1227"/>
      <c r="AE3098" s="1227"/>
    </row>
    <row r="3099" spans="28:31">
      <c r="AB3099" s="1227"/>
      <c r="AC3099" s="1227"/>
      <c r="AD3099" s="1227"/>
      <c r="AE3099" s="1227"/>
    </row>
    <row r="3100" spans="28:31">
      <c r="AB3100" s="1227"/>
      <c r="AC3100" s="1227"/>
      <c r="AD3100" s="1227"/>
      <c r="AE3100" s="1227"/>
    </row>
    <row r="3101" spans="28:31">
      <c r="AB3101" s="1227"/>
      <c r="AC3101" s="1227"/>
      <c r="AD3101" s="1227"/>
      <c r="AE3101" s="1227"/>
    </row>
    <row r="3102" spans="28:31">
      <c r="AB3102" s="1227"/>
      <c r="AC3102" s="1227"/>
      <c r="AD3102" s="1227"/>
      <c r="AE3102" s="1227"/>
    </row>
    <row r="3103" spans="28:31">
      <c r="AB3103" s="1227"/>
      <c r="AC3103" s="1227"/>
      <c r="AD3103" s="1227"/>
      <c r="AE3103" s="1227"/>
    </row>
    <row r="3104" spans="28:31">
      <c r="AB3104" s="1227"/>
      <c r="AC3104" s="1227"/>
      <c r="AD3104" s="1227"/>
      <c r="AE3104" s="1227"/>
    </row>
    <row r="3105" spans="28:31">
      <c r="AB3105" s="1227"/>
      <c r="AC3105" s="1227"/>
      <c r="AD3105" s="1227"/>
      <c r="AE3105" s="1227"/>
    </row>
    <row r="3106" spans="28:31">
      <c r="AB3106" s="1227"/>
      <c r="AC3106" s="1227"/>
      <c r="AD3106" s="1227"/>
      <c r="AE3106" s="1227"/>
    </row>
    <row r="3107" spans="28:31">
      <c r="AB3107" s="1227"/>
      <c r="AC3107" s="1227"/>
      <c r="AD3107" s="1227"/>
      <c r="AE3107" s="1227"/>
    </row>
    <row r="3108" spans="28:31">
      <c r="AB3108" s="1227"/>
      <c r="AC3108" s="1227"/>
      <c r="AD3108" s="1227"/>
      <c r="AE3108" s="1227"/>
    </row>
    <row r="3109" spans="28:31">
      <c r="AB3109" s="1227"/>
      <c r="AC3109" s="1227"/>
      <c r="AD3109" s="1227"/>
      <c r="AE3109" s="1227"/>
    </row>
    <row r="3110" spans="28:31">
      <c r="AB3110" s="1227"/>
      <c r="AC3110" s="1227"/>
      <c r="AD3110" s="1227"/>
      <c r="AE3110" s="1227"/>
    </row>
    <row r="3111" spans="28:31">
      <c r="AB3111" s="1227"/>
      <c r="AC3111" s="1227"/>
      <c r="AD3111" s="1227"/>
      <c r="AE3111" s="1227"/>
    </row>
    <row r="3112" spans="28:31">
      <c r="AB3112" s="1227"/>
      <c r="AC3112" s="1227"/>
      <c r="AD3112" s="1227"/>
      <c r="AE3112" s="1227"/>
    </row>
    <row r="3113" spans="28:31">
      <c r="AB3113" s="1227"/>
      <c r="AC3113" s="1227"/>
      <c r="AD3113" s="1227"/>
      <c r="AE3113" s="1227"/>
    </row>
    <row r="3114" spans="28:31">
      <c r="AB3114" s="1227"/>
      <c r="AC3114" s="1227"/>
      <c r="AD3114" s="1227"/>
      <c r="AE3114" s="1227"/>
    </row>
    <row r="3115" spans="28:31">
      <c r="AB3115" s="1227"/>
      <c r="AC3115" s="1227"/>
      <c r="AD3115" s="1227"/>
      <c r="AE3115" s="1227"/>
    </row>
    <row r="3116" spans="28:31">
      <c r="AB3116" s="1227"/>
      <c r="AC3116" s="1227"/>
      <c r="AD3116" s="1227"/>
      <c r="AE3116" s="1227"/>
    </row>
    <row r="3117" spans="28:31">
      <c r="AB3117" s="1227"/>
      <c r="AC3117" s="1227"/>
      <c r="AD3117" s="1227"/>
      <c r="AE3117" s="1227"/>
    </row>
    <row r="3118" spans="28:31">
      <c r="AB3118" s="1227"/>
      <c r="AC3118" s="1227"/>
      <c r="AD3118" s="1227"/>
      <c r="AE3118" s="1227"/>
    </row>
    <row r="3119" spans="28:31">
      <c r="AB3119" s="1227"/>
      <c r="AC3119" s="1227"/>
      <c r="AD3119" s="1227"/>
      <c r="AE3119" s="1227"/>
    </row>
    <row r="3120" spans="28:31">
      <c r="AB3120" s="1227"/>
      <c r="AC3120" s="1227"/>
      <c r="AD3120" s="1227"/>
      <c r="AE3120" s="1227"/>
    </row>
    <row r="3121" spans="28:31">
      <c r="AB3121" s="1227"/>
      <c r="AC3121" s="1227"/>
      <c r="AD3121" s="1227"/>
      <c r="AE3121" s="1227"/>
    </row>
    <row r="3122" spans="28:31">
      <c r="AB3122" s="1227"/>
      <c r="AC3122" s="1227"/>
      <c r="AD3122" s="1227"/>
      <c r="AE3122" s="1227"/>
    </row>
    <row r="3123" spans="28:31">
      <c r="AB3123" s="1227"/>
      <c r="AC3123" s="1227"/>
      <c r="AD3123" s="1227"/>
      <c r="AE3123" s="1227"/>
    </row>
    <row r="3124" spans="28:31">
      <c r="AB3124" s="1227"/>
      <c r="AC3124" s="1227"/>
      <c r="AD3124" s="1227"/>
      <c r="AE3124" s="1227"/>
    </row>
    <row r="3125" spans="28:31">
      <c r="AB3125" s="1227"/>
      <c r="AC3125" s="1227"/>
      <c r="AD3125" s="1227"/>
      <c r="AE3125" s="1227"/>
    </row>
    <row r="3126" spans="28:31">
      <c r="AB3126" s="1227"/>
      <c r="AC3126" s="1227"/>
      <c r="AD3126" s="1227"/>
      <c r="AE3126" s="1227"/>
    </row>
    <row r="3127" spans="28:31">
      <c r="AB3127" s="1227"/>
      <c r="AC3127" s="1227"/>
      <c r="AD3127" s="1227"/>
      <c r="AE3127" s="1227"/>
    </row>
    <row r="3128" spans="28:31">
      <c r="AB3128" s="1227"/>
      <c r="AC3128" s="1227"/>
      <c r="AD3128" s="1227"/>
      <c r="AE3128" s="1227"/>
    </row>
    <row r="3129" spans="28:31">
      <c r="AB3129" s="1227"/>
      <c r="AC3129" s="1227"/>
      <c r="AD3129" s="1227"/>
      <c r="AE3129" s="1227"/>
    </row>
    <row r="3130" spans="28:31">
      <c r="AB3130" s="1227"/>
      <c r="AC3130" s="1227"/>
      <c r="AD3130" s="1227"/>
      <c r="AE3130" s="1227"/>
    </row>
    <row r="3131" spans="28:31">
      <c r="AB3131" s="1227"/>
      <c r="AC3131" s="1227"/>
      <c r="AD3131" s="1227"/>
      <c r="AE3131" s="1227"/>
    </row>
    <row r="3132" spans="28:31">
      <c r="AB3132" s="1227"/>
      <c r="AC3132" s="1227"/>
      <c r="AD3132" s="1227"/>
      <c r="AE3132" s="1227"/>
    </row>
    <row r="3133" spans="28:31">
      <c r="AB3133" s="1227"/>
      <c r="AC3133" s="1227"/>
      <c r="AD3133" s="1227"/>
      <c r="AE3133" s="1227"/>
    </row>
    <row r="3134" spans="28:31">
      <c r="AB3134" s="1227"/>
      <c r="AC3134" s="1227"/>
      <c r="AD3134" s="1227"/>
      <c r="AE3134" s="1227"/>
    </row>
    <row r="3135" spans="28:31">
      <c r="AB3135" s="1227"/>
      <c r="AC3135" s="1227"/>
      <c r="AD3135" s="1227"/>
      <c r="AE3135" s="1227"/>
    </row>
    <row r="3136" spans="28:31">
      <c r="AB3136" s="1227"/>
      <c r="AC3136" s="1227"/>
      <c r="AD3136" s="1227"/>
      <c r="AE3136" s="1227"/>
    </row>
    <row r="3137" spans="28:31">
      <c r="AB3137" s="1227"/>
      <c r="AC3137" s="1227"/>
      <c r="AD3137" s="1227"/>
      <c r="AE3137" s="1227"/>
    </row>
    <row r="3138" spans="28:31">
      <c r="AB3138" s="1227"/>
      <c r="AC3138" s="1227"/>
      <c r="AD3138" s="1227"/>
      <c r="AE3138" s="1227"/>
    </row>
    <row r="3139" spans="28:31">
      <c r="AB3139" s="1227"/>
      <c r="AC3139" s="1227"/>
      <c r="AD3139" s="1227"/>
      <c r="AE3139" s="1227"/>
    </row>
    <row r="3140" spans="28:31">
      <c r="AB3140" s="1227"/>
      <c r="AC3140" s="1227"/>
      <c r="AD3140" s="1227"/>
      <c r="AE3140" s="1227"/>
    </row>
    <row r="3141" spans="28:31">
      <c r="AB3141" s="1227"/>
      <c r="AC3141" s="1227"/>
      <c r="AD3141" s="1227"/>
      <c r="AE3141" s="1227"/>
    </row>
    <row r="3142" spans="28:31">
      <c r="AB3142" s="1227"/>
      <c r="AC3142" s="1227"/>
      <c r="AD3142" s="1227"/>
      <c r="AE3142" s="1227"/>
    </row>
    <row r="3143" spans="28:31">
      <c r="AB3143" s="1227"/>
      <c r="AC3143" s="1227"/>
      <c r="AD3143" s="1227"/>
      <c r="AE3143" s="1227"/>
    </row>
    <row r="3144" spans="28:31">
      <c r="AB3144" s="1227"/>
      <c r="AC3144" s="1227"/>
      <c r="AD3144" s="1227"/>
      <c r="AE3144" s="1227"/>
    </row>
    <row r="3145" spans="28:31">
      <c r="AB3145" s="1227"/>
      <c r="AC3145" s="1227"/>
      <c r="AD3145" s="1227"/>
      <c r="AE3145" s="1227"/>
    </row>
    <row r="3146" spans="28:31">
      <c r="AB3146" s="1227"/>
      <c r="AC3146" s="1227"/>
      <c r="AD3146" s="1227"/>
      <c r="AE3146" s="1227"/>
    </row>
    <row r="3147" spans="28:31">
      <c r="AB3147" s="1227"/>
      <c r="AC3147" s="1227"/>
      <c r="AD3147" s="1227"/>
      <c r="AE3147" s="1227"/>
    </row>
    <row r="3148" spans="28:31">
      <c r="AB3148" s="1227"/>
      <c r="AC3148" s="1227"/>
      <c r="AD3148" s="1227"/>
      <c r="AE3148" s="1227"/>
    </row>
    <row r="3149" spans="28:31">
      <c r="AB3149" s="1227"/>
      <c r="AC3149" s="1227"/>
      <c r="AD3149" s="1227"/>
      <c r="AE3149" s="1227"/>
    </row>
    <row r="3150" spans="28:31">
      <c r="AB3150" s="1227"/>
      <c r="AC3150" s="1227"/>
      <c r="AD3150" s="1227"/>
      <c r="AE3150" s="1227"/>
    </row>
    <row r="3151" spans="28:31">
      <c r="AB3151" s="1227"/>
      <c r="AC3151" s="1227"/>
      <c r="AD3151" s="1227"/>
      <c r="AE3151" s="1227"/>
    </row>
    <row r="3152" spans="28:31">
      <c r="AB3152" s="1227"/>
      <c r="AC3152" s="1227"/>
      <c r="AD3152" s="1227"/>
      <c r="AE3152" s="1227"/>
    </row>
    <row r="3153" spans="28:31">
      <c r="AB3153" s="1227"/>
      <c r="AC3153" s="1227"/>
      <c r="AD3153" s="1227"/>
      <c r="AE3153" s="1227"/>
    </row>
    <row r="3154" spans="28:31">
      <c r="AB3154" s="1227"/>
      <c r="AC3154" s="1227"/>
      <c r="AD3154" s="1227"/>
      <c r="AE3154" s="1227"/>
    </row>
    <row r="3155" spans="28:31">
      <c r="AB3155" s="1227"/>
      <c r="AC3155" s="1227"/>
      <c r="AD3155" s="1227"/>
      <c r="AE3155" s="1227"/>
    </row>
    <row r="3156" spans="28:31">
      <c r="AB3156" s="1227"/>
      <c r="AC3156" s="1227"/>
      <c r="AD3156" s="1227"/>
      <c r="AE3156" s="1227"/>
    </row>
    <row r="3157" spans="28:31">
      <c r="AB3157" s="1227"/>
      <c r="AC3157" s="1227"/>
      <c r="AD3157" s="1227"/>
      <c r="AE3157" s="1227"/>
    </row>
    <row r="3158" spans="28:31">
      <c r="AB3158" s="1227"/>
      <c r="AC3158" s="1227"/>
      <c r="AD3158" s="1227"/>
      <c r="AE3158" s="1227"/>
    </row>
    <row r="3159" spans="28:31">
      <c r="AB3159" s="1227"/>
      <c r="AC3159" s="1227"/>
      <c r="AD3159" s="1227"/>
      <c r="AE3159" s="1227"/>
    </row>
    <row r="3160" spans="28:31">
      <c r="AB3160" s="1227"/>
      <c r="AC3160" s="1227"/>
      <c r="AD3160" s="1227"/>
      <c r="AE3160" s="1227"/>
    </row>
    <row r="3161" spans="28:31">
      <c r="AB3161" s="1227"/>
      <c r="AC3161" s="1227"/>
      <c r="AD3161" s="1227"/>
      <c r="AE3161" s="1227"/>
    </row>
    <row r="3162" spans="28:31">
      <c r="AB3162" s="1227"/>
      <c r="AC3162" s="1227"/>
      <c r="AD3162" s="1227"/>
      <c r="AE3162" s="1227"/>
    </row>
    <row r="3163" spans="28:31">
      <c r="AB3163" s="1227"/>
      <c r="AC3163" s="1227"/>
      <c r="AD3163" s="1227"/>
      <c r="AE3163" s="1227"/>
    </row>
    <row r="3164" spans="28:31">
      <c r="AB3164" s="1227"/>
      <c r="AC3164" s="1227"/>
      <c r="AD3164" s="1227"/>
      <c r="AE3164" s="1227"/>
    </row>
    <row r="3165" spans="28:31">
      <c r="AB3165" s="1227"/>
      <c r="AC3165" s="1227"/>
      <c r="AD3165" s="1227"/>
      <c r="AE3165" s="1227"/>
    </row>
    <row r="3166" spans="28:31">
      <c r="AB3166" s="1227"/>
      <c r="AC3166" s="1227"/>
      <c r="AD3166" s="1227"/>
      <c r="AE3166" s="1227"/>
    </row>
    <row r="3167" spans="28:31">
      <c r="AB3167" s="1227"/>
      <c r="AC3167" s="1227"/>
      <c r="AD3167" s="1227"/>
      <c r="AE3167" s="1227"/>
    </row>
    <row r="3168" spans="28:31">
      <c r="AB3168" s="1227"/>
      <c r="AC3168" s="1227"/>
      <c r="AD3168" s="1227"/>
      <c r="AE3168" s="1227"/>
    </row>
    <row r="3169" spans="28:31">
      <c r="AB3169" s="1227"/>
      <c r="AC3169" s="1227"/>
      <c r="AD3169" s="1227"/>
      <c r="AE3169" s="1227"/>
    </row>
    <row r="3170" spans="28:31">
      <c r="AB3170" s="1227"/>
      <c r="AC3170" s="1227"/>
      <c r="AD3170" s="1227"/>
      <c r="AE3170" s="1227"/>
    </row>
    <row r="3171" spans="28:31">
      <c r="AB3171" s="1227"/>
      <c r="AC3171" s="1227"/>
      <c r="AD3171" s="1227"/>
      <c r="AE3171" s="1227"/>
    </row>
    <row r="3172" spans="28:31">
      <c r="AB3172" s="1227"/>
      <c r="AC3172" s="1227"/>
      <c r="AD3172" s="1227"/>
      <c r="AE3172" s="1227"/>
    </row>
    <row r="3173" spans="28:31">
      <c r="AB3173" s="1227"/>
      <c r="AC3173" s="1227"/>
      <c r="AD3173" s="1227"/>
      <c r="AE3173" s="1227"/>
    </row>
    <row r="3174" spans="28:31">
      <c r="AB3174" s="1227"/>
      <c r="AC3174" s="1227"/>
      <c r="AD3174" s="1227"/>
      <c r="AE3174" s="1227"/>
    </row>
    <row r="3175" spans="28:31">
      <c r="AB3175" s="1227"/>
      <c r="AC3175" s="1227"/>
      <c r="AD3175" s="1227"/>
      <c r="AE3175" s="1227"/>
    </row>
    <row r="3176" spans="28:31">
      <c r="AB3176" s="1227"/>
      <c r="AC3176" s="1227"/>
      <c r="AD3176" s="1227"/>
      <c r="AE3176" s="1227"/>
    </row>
    <row r="3177" spans="28:31">
      <c r="AB3177" s="1227"/>
      <c r="AC3177" s="1227"/>
      <c r="AD3177" s="1227"/>
      <c r="AE3177" s="1227"/>
    </row>
    <row r="3178" spans="28:31">
      <c r="AB3178" s="1227"/>
      <c r="AC3178" s="1227"/>
      <c r="AD3178" s="1227"/>
      <c r="AE3178" s="1227"/>
    </row>
    <row r="3179" spans="28:31">
      <c r="AB3179" s="1227"/>
      <c r="AC3179" s="1227"/>
      <c r="AD3179" s="1227"/>
      <c r="AE3179" s="1227"/>
    </row>
    <row r="3180" spans="28:31">
      <c r="AB3180" s="1227"/>
      <c r="AC3180" s="1227"/>
      <c r="AD3180" s="1227"/>
      <c r="AE3180" s="1227"/>
    </row>
    <row r="3181" spans="28:31">
      <c r="AB3181" s="1227"/>
      <c r="AC3181" s="1227"/>
      <c r="AD3181" s="1227"/>
      <c r="AE3181" s="1227"/>
    </row>
    <row r="3182" spans="28:31">
      <c r="AB3182" s="1227"/>
      <c r="AC3182" s="1227"/>
      <c r="AD3182" s="1227"/>
      <c r="AE3182" s="1227"/>
    </row>
    <row r="3183" spans="28:31">
      <c r="AB3183" s="1227"/>
      <c r="AC3183" s="1227"/>
      <c r="AD3183" s="1227"/>
      <c r="AE3183" s="1227"/>
    </row>
    <row r="3184" spans="28:31">
      <c r="AB3184" s="1227"/>
      <c r="AC3184" s="1227"/>
      <c r="AD3184" s="1227"/>
      <c r="AE3184" s="1227"/>
    </row>
    <row r="3185" spans="28:31">
      <c r="AB3185" s="1227"/>
      <c r="AC3185" s="1227"/>
      <c r="AD3185" s="1227"/>
      <c r="AE3185" s="1227"/>
    </row>
    <row r="3186" spans="28:31">
      <c r="AB3186" s="1227"/>
      <c r="AC3186" s="1227"/>
      <c r="AD3186" s="1227"/>
      <c r="AE3186" s="1227"/>
    </row>
    <row r="3187" spans="28:31">
      <c r="AB3187" s="1227"/>
      <c r="AC3187" s="1227"/>
      <c r="AD3187" s="1227"/>
      <c r="AE3187" s="1227"/>
    </row>
    <row r="3188" spans="28:31">
      <c r="AB3188" s="1227"/>
      <c r="AC3188" s="1227"/>
      <c r="AD3188" s="1227"/>
      <c r="AE3188" s="1227"/>
    </row>
    <row r="3189" spans="28:31">
      <c r="AB3189" s="1227"/>
      <c r="AC3189" s="1227"/>
      <c r="AD3189" s="1227"/>
      <c r="AE3189" s="1227"/>
    </row>
    <row r="3190" spans="28:31">
      <c r="AB3190" s="1227"/>
      <c r="AC3190" s="1227"/>
      <c r="AD3190" s="1227"/>
      <c r="AE3190" s="1227"/>
    </row>
    <row r="3191" spans="28:31">
      <c r="AB3191" s="1227"/>
      <c r="AC3191" s="1227"/>
      <c r="AD3191" s="1227"/>
      <c r="AE3191" s="1227"/>
    </row>
    <row r="3192" spans="28:31">
      <c r="AB3192" s="1227"/>
      <c r="AC3192" s="1227"/>
      <c r="AD3192" s="1227"/>
      <c r="AE3192" s="1227"/>
    </row>
    <row r="3193" spans="28:31">
      <c r="AB3193" s="1227"/>
      <c r="AC3193" s="1227"/>
      <c r="AD3193" s="1227"/>
      <c r="AE3193" s="1227"/>
    </row>
    <row r="3194" spans="28:31">
      <c r="AB3194" s="1227"/>
      <c r="AC3194" s="1227"/>
      <c r="AD3194" s="1227"/>
      <c r="AE3194" s="1227"/>
    </row>
    <row r="3195" spans="28:31">
      <c r="AB3195" s="1227"/>
      <c r="AC3195" s="1227"/>
      <c r="AD3195" s="1227"/>
      <c r="AE3195" s="1227"/>
    </row>
    <row r="3196" spans="28:31">
      <c r="AB3196" s="1227"/>
      <c r="AC3196" s="1227"/>
      <c r="AD3196" s="1227"/>
      <c r="AE3196" s="1227"/>
    </row>
    <row r="3197" spans="28:31">
      <c r="AB3197" s="1227"/>
      <c r="AC3197" s="1227"/>
      <c r="AD3197" s="1227"/>
      <c r="AE3197" s="1227"/>
    </row>
    <row r="3198" spans="28:31">
      <c r="AB3198" s="1227"/>
      <c r="AC3198" s="1227"/>
      <c r="AD3198" s="1227"/>
      <c r="AE3198" s="1227"/>
    </row>
    <row r="3199" spans="28:31">
      <c r="AB3199" s="1227"/>
      <c r="AC3199" s="1227"/>
      <c r="AD3199" s="1227"/>
      <c r="AE3199" s="1227"/>
    </row>
    <row r="3200" spans="28:31">
      <c r="AB3200" s="1227"/>
      <c r="AC3200" s="1227"/>
      <c r="AD3200" s="1227"/>
      <c r="AE3200" s="1227"/>
    </row>
    <row r="3201" spans="28:31">
      <c r="AB3201" s="1227"/>
      <c r="AC3201" s="1227"/>
      <c r="AD3201" s="1227"/>
      <c r="AE3201" s="1227"/>
    </row>
    <row r="3202" spans="28:31">
      <c r="AB3202" s="1227"/>
      <c r="AC3202" s="1227"/>
      <c r="AD3202" s="1227"/>
      <c r="AE3202" s="1227"/>
    </row>
    <row r="3203" spans="28:31">
      <c r="AB3203" s="1227"/>
      <c r="AC3203" s="1227"/>
      <c r="AD3203" s="1227"/>
      <c r="AE3203" s="1227"/>
    </row>
    <row r="3204" spans="28:31">
      <c r="AB3204" s="1227"/>
      <c r="AC3204" s="1227"/>
      <c r="AD3204" s="1227"/>
      <c r="AE3204" s="1227"/>
    </row>
    <row r="3205" spans="28:31">
      <c r="AB3205" s="1227"/>
      <c r="AC3205" s="1227"/>
      <c r="AD3205" s="1227"/>
      <c r="AE3205" s="1227"/>
    </row>
    <row r="3206" spans="28:31">
      <c r="AB3206" s="1227"/>
      <c r="AC3206" s="1227"/>
      <c r="AD3206" s="1227"/>
      <c r="AE3206" s="1227"/>
    </row>
    <row r="3207" spans="28:31">
      <c r="AB3207" s="1227"/>
      <c r="AC3207" s="1227"/>
      <c r="AD3207" s="1227"/>
      <c r="AE3207" s="1227"/>
    </row>
    <row r="3208" spans="28:31">
      <c r="AB3208" s="1227"/>
      <c r="AC3208" s="1227"/>
      <c r="AD3208" s="1227"/>
      <c r="AE3208" s="1227"/>
    </row>
    <row r="3209" spans="28:31">
      <c r="AB3209" s="1227"/>
      <c r="AC3209" s="1227"/>
      <c r="AD3209" s="1227"/>
      <c r="AE3209" s="1227"/>
    </row>
    <row r="3210" spans="28:31">
      <c r="AB3210" s="1227"/>
      <c r="AC3210" s="1227"/>
      <c r="AD3210" s="1227"/>
      <c r="AE3210" s="1227"/>
    </row>
    <row r="3211" spans="28:31">
      <c r="AB3211" s="1227"/>
      <c r="AC3211" s="1227"/>
      <c r="AD3211" s="1227"/>
      <c r="AE3211" s="1227"/>
    </row>
    <row r="3212" spans="28:31">
      <c r="AB3212" s="1227"/>
      <c r="AC3212" s="1227"/>
      <c r="AD3212" s="1227"/>
      <c r="AE3212" s="1227"/>
    </row>
    <row r="3213" spans="28:31">
      <c r="AB3213" s="1227"/>
      <c r="AC3213" s="1227"/>
      <c r="AD3213" s="1227"/>
      <c r="AE3213" s="1227"/>
    </row>
    <row r="3214" spans="28:31">
      <c r="AB3214" s="1227"/>
      <c r="AC3214" s="1227"/>
      <c r="AD3214" s="1227"/>
      <c r="AE3214" s="1227"/>
    </row>
    <row r="3215" spans="28:31">
      <c r="AB3215" s="1227"/>
      <c r="AC3215" s="1227"/>
      <c r="AD3215" s="1227"/>
      <c r="AE3215" s="1227"/>
    </row>
    <row r="3216" spans="28:31">
      <c r="AB3216" s="1227"/>
      <c r="AC3216" s="1227"/>
      <c r="AD3216" s="1227"/>
      <c r="AE3216" s="1227"/>
    </row>
    <row r="3217" spans="28:31">
      <c r="AB3217" s="1227"/>
      <c r="AC3217" s="1227"/>
      <c r="AD3217" s="1227"/>
      <c r="AE3217" s="1227"/>
    </row>
    <row r="3218" spans="28:31">
      <c r="AB3218" s="1227"/>
      <c r="AC3218" s="1227"/>
      <c r="AD3218" s="1227"/>
      <c r="AE3218" s="1227"/>
    </row>
    <row r="3219" spans="28:31">
      <c r="AB3219" s="1227"/>
      <c r="AC3219" s="1227"/>
      <c r="AD3219" s="1227"/>
      <c r="AE3219" s="1227"/>
    </row>
    <row r="3220" spans="28:31">
      <c r="AB3220" s="1227"/>
      <c r="AC3220" s="1227"/>
      <c r="AD3220" s="1227"/>
      <c r="AE3220" s="1227"/>
    </row>
    <row r="3221" spans="28:31">
      <c r="AB3221" s="1227"/>
      <c r="AC3221" s="1227"/>
      <c r="AD3221" s="1227"/>
      <c r="AE3221" s="1227"/>
    </row>
    <row r="3222" spans="28:31">
      <c r="AB3222" s="1227"/>
      <c r="AC3222" s="1227"/>
      <c r="AD3222" s="1227"/>
      <c r="AE3222" s="1227"/>
    </row>
    <row r="3223" spans="28:31">
      <c r="AB3223" s="1227"/>
      <c r="AC3223" s="1227"/>
      <c r="AD3223" s="1227"/>
      <c r="AE3223" s="1227"/>
    </row>
    <row r="3224" spans="28:31">
      <c r="AB3224" s="1227"/>
      <c r="AC3224" s="1227"/>
      <c r="AD3224" s="1227"/>
      <c r="AE3224" s="1227"/>
    </row>
    <row r="3225" spans="28:31">
      <c r="AB3225" s="1227"/>
      <c r="AC3225" s="1227"/>
      <c r="AD3225" s="1227"/>
      <c r="AE3225" s="1227"/>
    </row>
    <row r="3226" spans="28:31">
      <c r="AB3226" s="1227"/>
      <c r="AC3226" s="1227"/>
      <c r="AD3226" s="1227"/>
      <c r="AE3226" s="1227"/>
    </row>
    <row r="3227" spans="28:31">
      <c r="AB3227" s="1227"/>
      <c r="AC3227" s="1227"/>
      <c r="AD3227" s="1227"/>
      <c r="AE3227" s="1227"/>
    </row>
    <row r="3228" spans="28:31">
      <c r="AB3228" s="1227"/>
      <c r="AC3228" s="1227"/>
      <c r="AD3228" s="1227"/>
      <c r="AE3228" s="1227"/>
    </row>
    <row r="3229" spans="28:31">
      <c r="AB3229" s="1227"/>
      <c r="AC3229" s="1227"/>
      <c r="AD3229" s="1227"/>
      <c r="AE3229" s="1227"/>
    </row>
    <row r="3230" spans="28:31">
      <c r="AB3230" s="1227"/>
      <c r="AC3230" s="1227"/>
      <c r="AD3230" s="1227"/>
      <c r="AE3230" s="1227"/>
    </row>
    <row r="3231" spans="28:31">
      <c r="AB3231" s="1227"/>
      <c r="AC3231" s="1227"/>
      <c r="AD3231" s="1227"/>
      <c r="AE3231" s="1227"/>
    </row>
    <row r="3232" spans="28:31">
      <c r="AB3232" s="1227"/>
      <c r="AC3232" s="1227"/>
      <c r="AD3232" s="1227"/>
      <c r="AE3232" s="1227"/>
    </row>
    <row r="3233" spans="28:31">
      <c r="AB3233" s="1227"/>
      <c r="AC3233" s="1227"/>
      <c r="AD3233" s="1227"/>
      <c r="AE3233" s="1227"/>
    </row>
    <row r="3234" spans="28:31">
      <c r="AB3234" s="1227"/>
      <c r="AC3234" s="1227"/>
      <c r="AD3234" s="1227"/>
      <c r="AE3234" s="1227"/>
    </row>
    <row r="3235" spans="28:31">
      <c r="AB3235" s="1227"/>
      <c r="AC3235" s="1227"/>
      <c r="AD3235" s="1227"/>
      <c r="AE3235" s="1227"/>
    </row>
    <row r="3236" spans="28:31">
      <c r="AB3236" s="1227"/>
      <c r="AC3236" s="1227"/>
      <c r="AD3236" s="1227"/>
      <c r="AE3236" s="1227"/>
    </row>
    <row r="3237" spans="28:31">
      <c r="AB3237" s="1227"/>
      <c r="AC3237" s="1227"/>
      <c r="AD3237" s="1227"/>
      <c r="AE3237" s="1227"/>
    </row>
    <row r="3238" spans="28:31">
      <c r="AB3238" s="1227"/>
      <c r="AC3238" s="1227"/>
      <c r="AD3238" s="1227"/>
      <c r="AE3238" s="1227"/>
    </row>
    <row r="3239" spans="28:31">
      <c r="AB3239" s="1227"/>
      <c r="AC3239" s="1227"/>
      <c r="AD3239" s="1227"/>
      <c r="AE3239" s="1227"/>
    </row>
    <row r="3240" spans="28:31">
      <c r="AB3240" s="1227"/>
      <c r="AC3240" s="1227"/>
      <c r="AD3240" s="1227"/>
      <c r="AE3240" s="1227"/>
    </row>
    <row r="3241" spans="28:31">
      <c r="AB3241" s="1227"/>
      <c r="AC3241" s="1227"/>
      <c r="AD3241" s="1227"/>
      <c r="AE3241" s="1227"/>
    </row>
    <row r="3242" spans="28:31">
      <c r="AB3242" s="1227"/>
      <c r="AC3242" s="1227"/>
      <c r="AD3242" s="1227"/>
      <c r="AE3242" s="1227"/>
    </row>
    <row r="3243" spans="28:31">
      <c r="AB3243" s="1227"/>
      <c r="AC3243" s="1227"/>
      <c r="AD3243" s="1227"/>
      <c r="AE3243" s="1227"/>
    </row>
    <row r="3244" spans="28:31">
      <c r="AB3244" s="1227"/>
      <c r="AC3244" s="1227"/>
      <c r="AD3244" s="1227"/>
      <c r="AE3244" s="1227"/>
    </row>
    <row r="3245" spans="28:31">
      <c r="AB3245" s="1227"/>
      <c r="AC3245" s="1227"/>
      <c r="AD3245" s="1227"/>
      <c r="AE3245" s="1227"/>
    </row>
    <row r="3246" spans="28:31">
      <c r="AB3246" s="1227"/>
      <c r="AC3246" s="1227"/>
      <c r="AD3246" s="1227"/>
      <c r="AE3246" s="1227"/>
    </row>
    <row r="3247" spans="28:31">
      <c r="AB3247" s="1227"/>
      <c r="AC3247" s="1227"/>
      <c r="AD3247" s="1227"/>
      <c r="AE3247" s="1227"/>
    </row>
    <row r="3248" spans="28:31">
      <c r="AB3248" s="1227"/>
      <c r="AC3248" s="1227"/>
      <c r="AD3248" s="1227"/>
      <c r="AE3248" s="1227"/>
    </row>
    <row r="3249" spans="28:31">
      <c r="AB3249" s="1227"/>
      <c r="AC3249" s="1227"/>
      <c r="AD3249" s="1227"/>
      <c r="AE3249" s="1227"/>
    </row>
    <row r="3250" spans="28:31">
      <c r="AB3250" s="1227"/>
      <c r="AC3250" s="1227"/>
      <c r="AD3250" s="1227"/>
      <c r="AE3250" s="1227"/>
    </row>
    <row r="3251" spans="28:31">
      <c r="AB3251" s="1227"/>
      <c r="AC3251" s="1227"/>
      <c r="AD3251" s="1227"/>
      <c r="AE3251" s="1227"/>
    </row>
    <row r="3252" spans="28:31">
      <c r="AB3252" s="1227"/>
      <c r="AC3252" s="1227"/>
      <c r="AD3252" s="1227"/>
      <c r="AE3252" s="1227"/>
    </row>
    <row r="3253" spans="28:31">
      <c r="AB3253" s="1227"/>
      <c r="AC3253" s="1227"/>
      <c r="AD3253" s="1227"/>
      <c r="AE3253" s="1227"/>
    </row>
    <row r="3254" spans="28:31">
      <c r="AB3254" s="1227"/>
      <c r="AC3254" s="1227"/>
      <c r="AD3254" s="1227"/>
      <c r="AE3254" s="1227"/>
    </row>
    <row r="3255" spans="28:31">
      <c r="AB3255" s="1227"/>
      <c r="AC3255" s="1227"/>
      <c r="AD3255" s="1227"/>
      <c r="AE3255" s="1227"/>
    </row>
    <row r="3256" spans="28:31">
      <c r="AB3256" s="1227"/>
      <c r="AC3256" s="1227"/>
      <c r="AD3256" s="1227"/>
      <c r="AE3256" s="1227"/>
    </row>
    <row r="3257" spans="28:31">
      <c r="AB3257" s="1227"/>
      <c r="AC3257" s="1227"/>
      <c r="AD3257" s="1227"/>
      <c r="AE3257" s="1227"/>
    </row>
    <row r="3258" spans="28:31">
      <c r="AB3258" s="1227"/>
      <c r="AC3258" s="1227"/>
      <c r="AD3258" s="1227"/>
      <c r="AE3258" s="1227"/>
    </row>
    <row r="3259" spans="28:31">
      <c r="AB3259" s="1227"/>
      <c r="AC3259" s="1227"/>
      <c r="AD3259" s="1227"/>
      <c r="AE3259" s="1227"/>
    </row>
    <row r="3260" spans="28:31">
      <c r="AB3260" s="1227"/>
      <c r="AC3260" s="1227"/>
      <c r="AD3260" s="1227"/>
      <c r="AE3260" s="1227"/>
    </row>
    <row r="3261" spans="28:31">
      <c r="AB3261" s="1227"/>
      <c r="AC3261" s="1227"/>
      <c r="AD3261" s="1227"/>
      <c r="AE3261" s="1227"/>
    </row>
    <row r="3262" spans="28:31">
      <c r="AB3262" s="1227"/>
      <c r="AC3262" s="1227"/>
      <c r="AD3262" s="1227"/>
      <c r="AE3262" s="1227"/>
    </row>
    <row r="3263" spans="28:31">
      <c r="AB3263" s="1227"/>
      <c r="AC3263" s="1227"/>
      <c r="AD3263" s="1227"/>
      <c r="AE3263" s="1227"/>
    </row>
    <row r="3264" spans="28:31">
      <c r="AB3264" s="1227"/>
      <c r="AC3264" s="1227"/>
      <c r="AD3264" s="1227"/>
      <c r="AE3264" s="1227"/>
    </row>
    <row r="3265" spans="28:31">
      <c r="AB3265" s="1227"/>
      <c r="AC3265" s="1227"/>
      <c r="AD3265" s="1227"/>
      <c r="AE3265" s="1227"/>
    </row>
    <row r="3266" spans="28:31">
      <c r="AB3266" s="1227"/>
      <c r="AC3266" s="1227"/>
      <c r="AD3266" s="1227"/>
      <c r="AE3266" s="1227"/>
    </row>
    <row r="3267" spans="28:31">
      <c r="AB3267" s="1227"/>
      <c r="AC3267" s="1227"/>
      <c r="AD3267" s="1227"/>
      <c r="AE3267" s="1227"/>
    </row>
    <row r="3268" spans="28:31">
      <c r="AB3268" s="1227"/>
      <c r="AC3268" s="1227"/>
      <c r="AD3268" s="1227"/>
      <c r="AE3268" s="1227"/>
    </row>
    <row r="3269" spans="28:31">
      <c r="AB3269" s="1227"/>
      <c r="AC3269" s="1227"/>
      <c r="AD3269" s="1227"/>
      <c r="AE3269" s="1227"/>
    </row>
    <row r="3270" spans="28:31">
      <c r="AB3270" s="1227"/>
      <c r="AC3270" s="1227"/>
      <c r="AD3270" s="1227"/>
      <c r="AE3270" s="1227"/>
    </row>
    <row r="3271" spans="28:31">
      <c r="AB3271" s="1227"/>
      <c r="AC3271" s="1227"/>
      <c r="AD3271" s="1227"/>
      <c r="AE3271" s="1227"/>
    </row>
    <row r="3272" spans="28:31">
      <c r="AB3272" s="1227"/>
      <c r="AC3272" s="1227"/>
      <c r="AD3272" s="1227"/>
      <c r="AE3272" s="1227"/>
    </row>
    <row r="3273" spans="28:31">
      <c r="AB3273" s="1227"/>
      <c r="AC3273" s="1227"/>
      <c r="AD3273" s="1227"/>
      <c r="AE3273" s="1227"/>
    </row>
    <row r="3274" spans="28:31">
      <c r="AB3274" s="1227"/>
      <c r="AC3274" s="1227"/>
      <c r="AD3274" s="1227"/>
      <c r="AE3274" s="1227"/>
    </row>
    <row r="3275" spans="28:31">
      <c r="AB3275" s="1227"/>
      <c r="AC3275" s="1227"/>
      <c r="AD3275" s="1227"/>
      <c r="AE3275" s="1227"/>
    </row>
    <row r="3276" spans="28:31">
      <c r="AB3276" s="1227"/>
      <c r="AC3276" s="1227"/>
      <c r="AD3276" s="1227"/>
      <c r="AE3276" s="1227"/>
    </row>
    <row r="3277" spans="28:31">
      <c r="AB3277" s="1227"/>
      <c r="AC3277" s="1227"/>
      <c r="AD3277" s="1227"/>
      <c r="AE3277" s="1227"/>
    </row>
    <row r="3278" spans="28:31">
      <c r="AB3278" s="1227"/>
      <c r="AC3278" s="1227"/>
      <c r="AD3278" s="1227"/>
      <c r="AE3278" s="1227"/>
    </row>
    <row r="3279" spans="28:31">
      <c r="AB3279" s="1227"/>
      <c r="AC3279" s="1227"/>
      <c r="AD3279" s="1227"/>
      <c r="AE3279" s="1227"/>
    </row>
    <row r="3280" spans="28:31">
      <c r="AB3280" s="1227"/>
      <c r="AC3280" s="1227"/>
      <c r="AD3280" s="1227"/>
      <c r="AE3280" s="1227"/>
    </row>
    <row r="3281" spans="28:31">
      <c r="AB3281" s="1227"/>
      <c r="AC3281" s="1227"/>
      <c r="AD3281" s="1227"/>
      <c r="AE3281" s="1227"/>
    </row>
    <row r="3282" spans="28:31">
      <c r="AB3282" s="1227"/>
      <c r="AC3282" s="1227"/>
      <c r="AD3282" s="1227"/>
      <c r="AE3282" s="1227"/>
    </row>
    <row r="3283" spans="28:31">
      <c r="AB3283" s="1227"/>
      <c r="AC3283" s="1227"/>
      <c r="AD3283" s="1227"/>
      <c r="AE3283" s="1227"/>
    </row>
    <row r="3284" spans="28:31">
      <c r="AB3284" s="1227"/>
      <c r="AC3284" s="1227"/>
      <c r="AD3284" s="1227"/>
      <c r="AE3284" s="1227"/>
    </row>
    <row r="3285" spans="28:31">
      <c r="AB3285" s="1227"/>
      <c r="AC3285" s="1227"/>
      <c r="AD3285" s="1227"/>
      <c r="AE3285" s="1227"/>
    </row>
    <row r="3286" spans="28:31">
      <c r="AB3286" s="1227"/>
      <c r="AC3286" s="1227"/>
      <c r="AD3286" s="1227"/>
      <c r="AE3286" s="1227"/>
    </row>
    <row r="3287" spans="28:31">
      <c r="AB3287" s="1227"/>
      <c r="AC3287" s="1227"/>
      <c r="AD3287" s="1227"/>
      <c r="AE3287" s="1227"/>
    </row>
    <row r="3288" spans="28:31">
      <c r="AB3288" s="1227"/>
      <c r="AC3288" s="1227"/>
      <c r="AD3288" s="1227"/>
      <c r="AE3288" s="1227"/>
    </row>
    <row r="3289" spans="28:31">
      <c r="AB3289" s="1227"/>
      <c r="AC3289" s="1227"/>
      <c r="AD3289" s="1227"/>
      <c r="AE3289" s="1227"/>
    </row>
    <row r="3290" spans="28:31">
      <c r="AB3290" s="1227"/>
      <c r="AC3290" s="1227"/>
      <c r="AD3290" s="1227"/>
      <c r="AE3290" s="1227"/>
    </row>
    <row r="3291" spans="28:31">
      <c r="AB3291" s="1227"/>
      <c r="AC3291" s="1227"/>
      <c r="AD3291" s="1227"/>
      <c r="AE3291" s="1227"/>
    </row>
    <row r="3292" spans="28:31">
      <c r="AB3292" s="1227"/>
      <c r="AC3292" s="1227"/>
      <c r="AD3292" s="1227"/>
      <c r="AE3292" s="1227"/>
    </row>
    <row r="3293" spans="28:31">
      <c r="AB3293" s="1227"/>
      <c r="AC3293" s="1227"/>
      <c r="AD3293" s="1227"/>
      <c r="AE3293" s="1227"/>
    </row>
    <row r="3294" spans="28:31">
      <c r="AB3294" s="1227"/>
      <c r="AC3294" s="1227"/>
      <c r="AD3294" s="1227"/>
      <c r="AE3294" s="1227"/>
    </row>
    <row r="3295" spans="28:31">
      <c r="AB3295" s="1227"/>
      <c r="AC3295" s="1227"/>
      <c r="AD3295" s="1227"/>
      <c r="AE3295" s="1227"/>
    </row>
    <row r="3296" spans="28:31">
      <c r="AB3296" s="1227"/>
      <c r="AC3296" s="1227"/>
      <c r="AD3296" s="1227"/>
      <c r="AE3296" s="1227"/>
    </row>
    <row r="3297" spans="28:31">
      <c r="AB3297" s="1227"/>
      <c r="AC3297" s="1227"/>
      <c r="AD3297" s="1227"/>
      <c r="AE3297" s="1227"/>
    </row>
    <row r="3298" spans="28:31">
      <c r="AB3298" s="1227"/>
      <c r="AC3298" s="1227"/>
      <c r="AD3298" s="1227"/>
      <c r="AE3298" s="1227"/>
    </row>
    <row r="3299" spans="28:31">
      <c r="AB3299" s="1227"/>
      <c r="AC3299" s="1227"/>
      <c r="AD3299" s="1227"/>
      <c r="AE3299" s="1227"/>
    </row>
    <row r="3300" spans="28:31">
      <c r="AB3300" s="1227"/>
      <c r="AC3300" s="1227"/>
      <c r="AD3300" s="1227"/>
      <c r="AE3300" s="1227"/>
    </row>
    <row r="3301" spans="28:31">
      <c r="AB3301" s="1227"/>
      <c r="AC3301" s="1227"/>
      <c r="AD3301" s="1227"/>
      <c r="AE3301" s="1227"/>
    </row>
    <row r="3302" spans="28:31">
      <c r="AB3302" s="1227"/>
      <c r="AC3302" s="1227"/>
      <c r="AD3302" s="1227"/>
      <c r="AE3302" s="1227"/>
    </row>
    <row r="3303" spans="28:31">
      <c r="AB3303" s="1227"/>
      <c r="AC3303" s="1227"/>
      <c r="AD3303" s="1227"/>
      <c r="AE3303" s="1227"/>
    </row>
    <row r="3304" spans="28:31">
      <c r="AB3304" s="1227"/>
      <c r="AC3304" s="1227"/>
      <c r="AD3304" s="1227"/>
      <c r="AE3304" s="1227"/>
    </row>
    <row r="3305" spans="28:31">
      <c r="AB3305" s="1227"/>
      <c r="AC3305" s="1227"/>
      <c r="AD3305" s="1227"/>
      <c r="AE3305" s="1227"/>
    </row>
    <row r="3306" spans="28:31">
      <c r="AB3306" s="1227"/>
      <c r="AC3306" s="1227"/>
      <c r="AD3306" s="1227"/>
      <c r="AE3306" s="1227"/>
    </row>
    <row r="3307" spans="28:31">
      <c r="AB3307" s="1227"/>
      <c r="AC3307" s="1227"/>
      <c r="AD3307" s="1227"/>
      <c r="AE3307" s="1227"/>
    </row>
    <row r="3308" spans="28:31">
      <c r="AB3308" s="1227"/>
      <c r="AC3308" s="1227"/>
      <c r="AD3308" s="1227"/>
      <c r="AE3308" s="1227"/>
    </row>
    <row r="3309" spans="28:31">
      <c r="AB3309" s="1227"/>
      <c r="AC3309" s="1227"/>
      <c r="AD3309" s="1227"/>
      <c r="AE3309" s="1227"/>
    </row>
    <row r="3310" spans="28:31">
      <c r="AB3310" s="1227"/>
      <c r="AC3310" s="1227"/>
      <c r="AD3310" s="1227"/>
      <c r="AE3310" s="1227"/>
    </row>
    <row r="3311" spans="28:31">
      <c r="AB3311" s="1227"/>
      <c r="AC3311" s="1227"/>
      <c r="AD3311" s="1227"/>
      <c r="AE3311" s="1227"/>
    </row>
    <row r="3312" spans="28:31">
      <c r="AB3312" s="1227"/>
      <c r="AC3312" s="1227"/>
      <c r="AD3312" s="1227"/>
      <c r="AE3312" s="1227"/>
    </row>
    <row r="3313" spans="28:31">
      <c r="AB3313" s="1227"/>
      <c r="AC3313" s="1227"/>
      <c r="AD3313" s="1227"/>
      <c r="AE3313" s="1227"/>
    </row>
    <row r="3314" spans="28:31">
      <c r="AB3314" s="1227"/>
      <c r="AC3314" s="1227"/>
      <c r="AD3314" s="1227"/>
      <c r="AE3314" s="1227"/>
    </row>
    <row r="3315" spans="28:31">
      <c r="AB3315" s="1227"/>
      <c r="AC3315" s="1227"/>
      <c r="AD3315" s="1227"/>
      <c r="AE3315" s="1227"/>
    </row>
    <row r="3316" spans="28:31">
      <c r="AB3316" s="1227"/>
      <c r="AC3316" s="1227"/>
      <c r="AD3316" s="1227"/>
      <c r="AE3316" s="1227"/>
    </row>
    <row r="3317" spans="28:31">
      <c r="AB3317" s="1227"/>
      <c r="AC3317" s="1227"/>
      <c r="AD3317" s="1227"/>
      <c r="AE3317" s="1227"/>
    </row>
    <row r="3318" spans="28:31">
      <c r="AB3318" s="1227"/>
      <c r="AC3318" s="1227"/>
      <c r="AD3318" s="1227"/>
      <c r="AE3318" s="1227"/>
    </row>
    <row r="3319" spans="28:31">
      <c r="AB3319" s="1227"/>
      <c r="AC3319" s="1227"/>
      <c r="AD3319" s="1227"/>
      <c r="AE3319" s="1227"/>
    </row>
    <row r="3320" spans="28:31">
      <c r="AB3320" s="1227"/>
      <c r="AC3320" s="1227"/>
      <c r="AD3320" s="1227"/>
      <c r="AE3320" s="1227"/>
    </row>
    <row r="3321" spans="28:31">
      <c r="AB3321" s="1227"/>
      <c r="AC3321" s="1227"/>
      <c r="AD3321" s="1227"/>
      <c r="AE3321" s="1227"/>
    </row>
    <row r="3322" spans="28:31">
      <c r="AB3322" s="1227"/>
      <c r="AC3322" s="1227"/>
      <c r="AD3322" s="1227"/>
      <c r="AE3322" s="1227"/>
    </row>
    <row r="3323" spans="28:31">
      <c r="AB3323" s="1227"/>
      <c r="AC3323" s="1227"/>
      <c r="AD3323" s="1227"/>
      <c r="AE3323" s="1227"/>
    </row>
    <row r="3324" spans="28:31">
      <c r="AB3324" s="1227"/>
      <c r="AC3324" s="1227"/>
      <c r="AD3324" s="1227"/>
      <c r="AE3324" s="1227"/>
    </row>
    <row r="3325" spans="28:31">
      <c r="AB3325" s="1227"/>
      <c r="AC3325" s="1227"/>
      <c r="AD3325" s="1227"/>
      <c r="AE3325" s="1227"/>
    </row>
    <row r="3326" spans="28:31">
      <c r="AB3326" s="1227"/>
      <c r="AC3326" s="1227"/>
      <c r="AD3326" s="1227"/>
      <c r="AE3326" s="1227"/>
    </row>
    <row r="3327" spans="28:31">
      <c r="AB3327" s="1227"/>
      <c r="AC3327" s="1227"/>
      <c r="AD3327" s="1227"/>
      <c r="AE3327" s="1227"/>
    </row>
    <row r="3328" spans="28:31">
      <c r="AB3328" s="1227"/>
      <c r="AC3328" s="1227"/>
      <c r="AD3328" s="1227"/>
      <c r="AE3328" s="1227"/>
    </row>
    <row r="3329" spans="28:31">
      <c r="AB3329" s="1227"/>
      <c r="AC3329" s="1227"/>
      <c r="AD3329" s="1227"/>
      <c r="AE3329" s="1227"/>
    </row>
    <row r="3330" spans="28:31">
      <c r="AB3330" s="1227"/>
      <c r="AC3330" s="1227"/>
      <c r="AD3330" s="1227"/>
      <c r="AE3330" s="1227"/>
    </row>
    <row r="3331" spans="28:31">
      <c r="AB3331" s="1227"/>
      <c r="AC3331" s="1227"/>
      <c r="AD3331" s="1227"/>
      <c r="AE3331" s="1227"/>
    </row>
    <row r="3332" spans="28:31">
      <c r="AB3332" s="1227"/>
      <c r="AC3332" s="1227"/>
      <c r="AD3332" s="1227"/>
      <c r="AE3332" s="1227"/>
    </row>
    <row r="3333" spans="28:31">
      <c r="AB3333" s="1227"/>
      <c r="AC3333" s="1227"/>
      <c r="AD3333" s="1227"/>
      <c r="AE3333" s="1227"/>
    </row>
    <row r="3334" spans="28:31">
      <c r="AB3334" s="1227"/>
      <c r="AC3334" s="1227"/>
      <c r="AD3334" s="1227"/>
      <c r="AE3334" s="1227"/>
    </row>
    <row r="3335" spans="28:31">
      <c r="AB3335" s="1227"/>
      <c r="AC3335" s="1227"/>
      <c r="AD3335" s="1227"/>
      <c r="AE3335" s="1227"/>
    </row>
    <row r="3336" spans="28:31">
      <c r="AB3336" s="1227"/>
      <c r="AC3336" s="1227"/>
      <c r="AD3336" s="1227"/>
      <c r="AE3336" s="1227"/>
    </row>
    <row r="3337" spans="28:31">
      <c r="AB3337" s="1227"/>
      <c r="AC3337" s="1227"/>
      <c r="AD3337" s="1227"/>
      <c r="AE3337" s="1227"/>
    </row>
    <row r="3338" spans="28:31">
      <c r="AB3338" s="1227"/>
      <c r="AC3338" s="1227"/>
      <c r="AD3338" s="1227"/>
      <c r="AE3338" s="1227"/>
    </row>
    <row r="3339" spans="28:31">
      <c r="AB3339" s="1227"/>
      <c r="AC3339" s="1227"/>
      <c r="AD3339" s="1227"/>
      <c r="AE3339" s="1227"/>
    </row>
    <row r="3340" spans="28:31">
      <c r="AB3340" s="1227"/>
      <c r="AC3340" s="1227"/>
      <c r="AD3340" s="1227"/>
      <c r="AE3340" s="1227"/>
    </row>
    <row r="3341" spans="28:31">
      <c r="AB3341" s="1227"/>
      <c r="AC3341" s="1227"/>
      <c r="AD3341" s="1227"/>
      <c r="AE3341" s="1227"/>
    </row>
    <row r="3342" spans="28:31">
      <c r="AB3342" s="1227"/>
      <c r="AC3342" s="1227"/>
      <c r="AD3342" s="1227"/>
      <c r="AE3342" s="1227"/>
    </row>
    <row r="3343" spans="28:31">
      <c r="AB3343" s="1227"/>
      <c r="AC3343" s="1227"/>
      <c r="AD3343" s="1227"/>
      <c r="AE3343" s="1227"/>
    </row>
    <row r="3344" spans="28:31">
      <c r="AB3344" s="1227"/>
      <c r="AC3344" s="1227"/>
      <c r="AD3344" s="1227"/>
      <c r="AE3344" s="1227"/>
    </row>
    <row r="3345" spans="28:31">
      <c r="AB3345" s="1227"/>
      <c r="AC3345" s="1227"/>
      <c r="AD3345" s="1227"/>
      <c r="AE3345" s="1227"/>
    </row>
    <row r="3346" spans="28:31">
      <c r="AB3346" s="1227"/>
      <c r="AC3346" s="1227"/>
      <c r="AD3346" s="1227"/>
      <c r="AE3346" s="1227"/>
    </row>
    <row r="3347" spans="28:31">
      <c r="AB3347" s="1227"/>
      <c r="AC3347" s="1227"/>
      <c r="AD3347" s="1227"/>
      <c r="AE3347" s="1227"/>
    </row>
    <row r="3348" spans="28:31">
      <c r="AB3348" s="1227"/>
      <c r="AC3348" s="1227"/>
      <c r="AD3348" s="1227"/>
      <c r="AE3348" s="1227"/>
    </row>
    <row r="3349" spans="28:31">
      <c r="AB3349" s="1227"/>
      <c r="AC3349" s="1227"/>
      <c r="AD3349" s="1227"/>
      <c r="AE3349" s="1227"/>
    </row>
    <row r="3350" spans="28:31">
      <c r="AB3350" s="1227"/>
      <c r="AC3350" s="1227"/>
      <c r="AD3350" s="1227"/>
      <c r="AE3350" s="1227"/>
    </row>
    <row r="3351" spans="28:31">
      <c r="AB3351" s="1227"/>
      <c r="AC3351" s="1227"/>
      <c r="AD3351" s="1227"/>
      <c r="AE3351" s="1227"/>
    </row>
    <row r="3352" spans="28:31">
      <c r="AB3352" s="1227"/>
      <c r="AC3352" s="1227"/>
      <c r="AD3352" s="1227"/>
      <c r="AE3352" s="1227"/>
    </row>
    <row r="3353" spans="28:31">
      <c r="AB3353" s="1227"/>
      <c r="AC3353" s="1227"/>
      <c r="AD3353" s="1227"/>
      <c r="AE3353" s="1227"/>
    </row>
    <row r="3354" spans="28:31">
      <c r="AB3354" s="1227"/>
      <c r="AC3354" s="1227"/>
      <c r="AD3354" s="1227"/>
      <c r="AE3354" s="1227"/>
    </row>
    <row r="3355" spans="28:31">
      <c r="AB3355" s="1227"/>
      <c r="AC3355" s="1227"/>
      <c r="AD3355" s="1227"/>
      <c r="AE3355" s="1227"/>
    </row>
    <row r="3356" spans="28:31">
      <c r="AB3356" s="1227"/>
      <c r="AC3356" s="1227"/>
      <c r="AD3356" s="1227"/>
      <c r="AE3356" s="1227"/>
    </row>
    <row r="3357" spans="28:31">
      <c r="AB3357" s="1227"/>
      <c r="AC3357" s="1227"/>
      <c r="AD3357" s="1227"/>
      <c r="AE3357" s="1227"/>
    </row>
    <row r="3358" spans="28:31">
      <c r="AB3358" s="1227"/>
      <c r="AC3358" s="1227"/>
      <c r="AD3358" s="1227"/>
      <c r="AE3358" s="1227"/>
    </row>
    <row r="3359" spans="28:31">
      <c r="AB3359" s="1227"/>
      <c r="AC3359" s="1227"/>
      <c r="AD3359" s="1227"/>
      <c r="AE3359" s="1227"/>
    </row>
    <row r="3360" spans="28:31">
      <c r="AB3360" s="1227"/>
      <c r="AC3360" s="1227"/>
      <c r="AD3360" s="1227"/>
      <c r="AE3360" s="1227"/>
    </row>
    <row r="3361" spans="28:31">
      <c r="AB3361" s="1227"/>
      <c r="AC3361" s="1227"/>
      <c r="AD3361" s="1227"/>
      <c r="AE3361" s="1227"/>
    </row>
    <row r="3362" spans="28:31">
      <c r="AB3362" s="1227"/>
      <c r="AC3362" s="1227"/>
      <c r="AD3362" s="1227"/>
      <c r="AE3362" s="1227"/>
    </row>
    <row r="3363" spans="28:31">
      <c r="AB3363" s="1227"/>
      <c r="AC3363" s="1227"/>
      <c r="AD3363" s="1227"/>
      <c r="AE3363" s="1227"/>
    </row>
    <row r="3364" spans="28:31">
      <c r="AB3364" s="1227"/>
      <c r="AC3364" s="1227"/>
      <c r="AD3364" s="1227"/>
      <c r="AE3364" s="1227"/>
    </row>
    <row r="3365" spans="28:31">
      <c r="AB3365" s="1227"/>
      <c r="AC3365" s="1227"/>
      <c r="AD3365" s="1227"/>
      <c r="AE3365" s="1227"/>
    </row>
    <row r="3366" spans="28:31">
      <c r="AB3366" s="1227"/>
      <c r="AC3366" s="1227"/>
      <c r="AD3366" s="1227"/>
      <c r="AE3366" s="1227"/>
    </row>
    <row r="3367" spans="28:31">
      <c r="AB3367" s="1227"/>
      <c r="AC3367" s="1227"/>
      <c r="AD3367" s="1227"/>
      <c r="AE3367" s="1227"/>
    </row>
    <row r="3368" spans="28:31">
      <c r="AB3368" s="1227"/>
      <c r="AC3368" s="1227"/>
      <c r="AD3368" s="1227"/>
      <c r="AE3368" s="1227"/>
    </row>
    <row r="3369" spans="28:31">
      <c r="AB3369" s="1227"/>
      <c r="AC3369" s="1227"/>
      <c r="AD3369" s="1227"/>
      <c r="AE3369" s="1227"/>
    </row>
    <row r="3370" spans="28:31">
      <c r="AB3370" s="1227"/>
      <c r="AC3370" s="1227"/>
      <c r="AD3370" s="1227"/>
      <c r="AE3370" s="1227"/>
    </row>
    <row r="3371" spans="28:31">
      <c r="AB3371" s="1227"/>
      <c r="AC3371" s="1227"/>
      <c r="AD3371" s="1227"/>
      <c r="AE3371" s="1227"/>
    </row>
    <row r="3372" spans="28:31">
      <c r="AB3372" s="1227"/>
      <c r="AC3372" s="1227"/>
      <c r="AD3372" s="1227"/>
      <c r="AE3372" s="1227"/>
    </row>
    <row r="3373" spans="28:31">
      <c r="AB3373" s="1227"/>
      <c r="AC3373" s="1227"/>
      <c r="AD3373" s="1227"/>
      <c r="AE3373" s="1227"/>
    </row>
    <row r="3374" spans="28:31">
      <c r="AB3374" s="1227"/>
      <c r="AC3374" s="1227"/>
      <c r="AD3374" s="1227"/>
      <c r="AE3374" s="1227"/>
    </row>
    <row r="3375" spans="28:31">
      <c r="AB3375" s="1227"/>
      <c r="AC3375" s="1227"/>
      <c r="AD3375" s="1227"/>
      <c r="AE3375" s="1227"/>
    </row>
    <row r="3376" spans="28:31">
      <c r="AB3376" s="1227"/>
      <c r="AC3376" s="1227"/>
      <c r="AD3376" s="1227"/>
      <c r="AE3376" s="1227"/>
    </row>
    <row r="3377" spans="28:31">
      <c r="AB3377" s="1227"/>
      <c r="AC3377" s="1227"/>
      <c r="AD3377" s="1227"/>
      <c r="AE3377" s="1227"/>
    </row>
    <row r="3378" spans="28:31">
      <c r="AB3378" s="1227"/>
      <c r="AC3378" s="1227"/>
      <c r="AD3378" s="1227"/>
      <c r="AE3378" s="1227"/>
    </row>
    <row r="3379" spans="28:31">
      <c r="AB3379" s="1227"/>
      <c r="AC3379" s="1227"/>
      <c r="AD3379" s="1227"/>
      <c r="AE3379" s="1227"/>
    </row>
    <row r="3380" spans="28:31">
      <c r="AB3380" s="1227"/>
      <c r="AC3380" s="1227"/>
      <c r="AD3380" s="1227"/>
      <c r="AE3380" s="1227"/>
    </row>
    <row r="3381" spans="28:31">
      <c r="AB3381" s="1227"/>
      <c r="AC3381" s="1227"/>
      <c r="AD3381" s="1227"/>
      <c r="AE3381" s="1227"/>
    </row>
    <row r="3382" spans="28:31">
      <c r="AB3382" s="1227"/>
      <c r="AC3382" s="1227"/>
      <c r="AD3382" s="1227"/>
      <c r="AE3382" s="1227"/>
    </row>
    <row r="3383" spans="28:31">
      <c r="AB3383" s="1227"/>
      <c r="AC3383" s="1227"/>
      <c r="AD3383" s="1227"/>
      <c r="AE3383" s="1227"/>
    </row>
    <row r="3384" spans="28:31">
      <c r="AB3384" s="1227"/>
      <c r="AC3384" s="1227"/>
      <c r="AD3384" s="1227"/>
      <c r="AE3384" s="1227"/>
    </row>
    <row r="3385" spans="28:31">
      <c r="AB3385" s="1227"/>
      <c r="AC3385" s="1227"/>
      <c r="AD3385" s="1227"/>
      <c r="AE3385" s="1227"/>
    </row>
    <row r="3386" spans="28:31">
      <c r="AB3386" s="1227"/>
      <c r="AC3386" s="1227"/>
      <c r="AD3386" s="1227"/>
      <c r="AE3386" s="1227"/>
    </row>
    <row r="3387" spans="28:31">
      <c r="AB3387" s="1227"/>
      <c r="AC3387" s="1227"/>
      <c r="AD3387" s="1227"/>
      <c r="AE3387" s="1227"/>
    </row>
    <row r="3388" spans="28:31">
      <c r="AB3388" s="1227"/>
      <c r="AC3388" s="1227"/>
      <c r="AD3388" s="1227"/>
      <c r="AE3388" s="1227"/>
    </row>
    <row r="3389" spans="28:31">
      <c r="AB3389" s="1227"/>
      <c r="AC3389" s="1227"/>
      <c r="AD3389" s="1227"/>
      <c r="AE3389" s="1227"/>
    </row>
    <row r="3390" spans="28:31">
      <c r="AB3390" s="1227"/>
      <c r="AC3390" s="1227"/>
      <c r="AD3390" s="1227"/>
      <c r="AE3390" s="1227"/>
    </row>
    <row r="3391" spans="28:31">
      <c r="AB3391" s="1227"/>
      <c r="AC3391" s="1227"/>
      <c r="AD3391" s="1227"/>
      <c r="AE3391" s="1227"/>
    </row>
    <row r="3392" spans="28:31">
      <c r="AB3392" s="1227"/>
      <c r="AC3392" s="1227"/>
      <c r="AD3392" s="1227"/>
      <c r="AE3392" s="1227"/>
    </row>
    <row r="3393" spans="28:31">
      <c r="AB3393" s="1227"/>
      <c r="AC3393" s="1227"/>
      <c r="AD3393" s="1227"/>
      <c r="AE3393" s="1227"/>
    </row>
    <row r="3394" spans="28:31">
      <c r="AB3394" s="1227"/>
      <c r="AC3394" s="1227"/>
      <c r="AD3394" s="1227"/>
      <c r="AE3394" s="1227"/>
    </row>
    <row r="3395" spans="28:31">
      <c r="AB3395" s="1227"/>
      <c r="AC3395" s="1227"/>
      <c r="AD3395" s="1227"/>
      <c r="AE3395" s="1227"/>
    </row>
    <row r="3396" spans="28:31">
      <c r="AB3396" s="1227"/>
      <c r="AC3396" s="1227"/>
      <c r="AD3396" s="1227"/>
      <c r="AE3396" s="1227"/>
    </row>
    <row r="3397" spans="28:31">
      <c r="AB3397" s="1227"/>
      <c r="AC3397" s="1227"/>
      <c r="AD3397" s="1227"/>
      <c r="AE3397" s="1227"/>
    </row>
    <row r="3398" spans="28:31">
      <c r="AB3398" s="1227"/>
      <c r="AC3398" s="1227"/>
      <c r="AD3398" s="1227"/>
      <c r="AE3398" s="1227"/>
    </row>
    <row r="3399" spans="28:31">
      <c r="AB3399" s="1227"/>
      <c r="AC3399" s="1227"/>
      <c r="AD3399" s="1227"/>
      <c r="AE3399" s="1227"/>
    </row>
    <row r="3400" spans="28:31">
      <c r="AB3400" s="1227"/>
      <c r="AC3400" s="1227"/>
      <c r="AD3400" s="1227"/>
      <c r="AE3400" s="1227"/>
    </row>
    <row r="3401" spans="28:31">
      <c r="AB3401" s="1227"/>
      <c r="AC3401" s="1227"/>
      <c r="AD3401" s="1227"/>
      <c r="AE3401" s="1227"/>
    </row>
    <row r="3402" spans="28:31">
      <c r="AB3402" s="1227"/>
      <c r="AC3402" s="1227"/>
      <c r="AD3402" s="1227"/>
      <c r="AE3402" s="1227"/>
    </row>
    <row r="3403" spans="28:31">
      <c r="AB3403" s="1227"/>
      <c r="AC3403" s="1227"/>
      <c r="AD3403" s="1227"/>
      <c r="AE3403" s="1227"/>
    </row>
    <row r="3404" spans="28:31">
      <c r="AB3404" s="1227"/>
      <c r="AC3404" s="1227"/>
      <c r="AD3404" s="1227"/>
      <c r="AE3404" s="1227"/>
    </row>
    <row r="3405" spans="28:31">
      <c r="AB3405" s="1227"/>
      <c r="AC3405" s="1227"/>
      <c r="AD3405" s="1227"/>
      <c r="AE3405" s="1227"/>
    </row>
    <row r="3406" spans="28:31">
      <c r="AB3406" s="1227"/>
      <c r="AC3406" s="1227"/>
      <c r="AD3406" s="1227"/>
      <c r="AE3406" s="1227"/>
    </row>
    <row r="3407" spans="28:31">
      <c r="AB3407" s="1227"/>
      <c r="AC3407" s="1227"/>
      <c r="AD3407" s="1227"/>
      <c r="AE3407" s="1227"/>
    </row>
    <row r="3408" spans="28:31">
      <c r="AB3408" s="1227"/>
      <c r="AC3408" s="1227"/>
      <c r="AD3408" s="1227"/>
      <c r="AE3408" s="1227"/>
    </row>
    <row r="3409" spans="28:31">
      <c r="AB3409" s="1227"/>
      <c r="AC3409" s="1227"/>
      <c r="AD3409" s="1227"/>
      <c r="AE3409" s="1227"/>
    </row>
    <row r="3410" spans="28:31">
      <c r="AB3410" s="1227"/>
      <c r="AC3410" s="1227"/>
      <c r="AD3410" s="1227"/>
      <c r="AE3410" s="1227"/>
    </row>
    <row r="3411" spans="28:31">
      <c r="AB3411" s="1227"/>
      <c r="AC3411" s="1227"/>
      <c r="AD3411" s="1227"/>
      <c r="AE3411" s="1227"/>
    </row>
    <row r="3412" spans="28:31">
      <c r="AB3412" s="1227"/>
      <c r="AC3412" s="1227"/>
      <c r="AD3412" s="1227"/>
      <c r="AE3412" s="1227"/>
    </row>
    <row r="3413" spans="28:31">
      <c r="AB3413" s="1227"/>
      <c r="AC3413" s="1227"/>
      <c r="AD3413" s="1227"/>
      <c r="AE3413" s="1227"/>
    </row>
    <row r="3414" spans="28:31">
      <c r="AB3414" s="1227"/>
      <c r="AC3414" s="1227"/>
      <c r="AD3414" s="1227"/>
      <c r="AE3414" s="1227"/>
    </row>
    <row r="3415" spans="28:31">
      <c r="AB3415" s="1227"/>
      <c r="AC3415" s="1227"/>
      <c r="AD3415" s="1227"/>
      <c r="AE3415" s="1227"/>
    </row>
    <row r="3416" spans="28:31">
      <c r="AB3416" s="1227"/>
      <c r="AC3416" s="1227"/>
      <c r="AD3416" s="1227"/>
      <c r="AE3416" s="1227"/>
    </row>
    <row r="3417" spans="28:31">
      <c r="AB3417" s="1227"/>
      <c r="AC3417" s="1227"/>
      <c r="AD3417" s="1227"/>
      <c r="AE3417" s="1227"/>
    </row>
    <row r="3418" spans="28:31">
      <c r="AB3418" s="1227"/>
      <c r="AC3418" s="1227"/>
      <c r="AD3418" s="1227"/>
      <c r="AE3418" s="1227"/>
    </row>
    <row r="3419" spans="28:31">
      <c r="AB3419" s="1227"/>
      <c r="AC3419" s="1227"/>
      <c r="AD3419" s="1227"/>
      <c r="AE3419" s="1227"/>
    </row>
    <row r="3420" spans="28:31">
      <c r="AB3420" s="1227"/>
      <c r="AC3420" s="1227"/>
      <c r="AD3420" s="1227"/>
      <c r="AE3420" s="1227"/>
    </row>
    <row r="3421" spans="28:31">
      <c r="AB3421" s="1227"/>
      <c r="AC3421" s="1227"/>
      <c r="AD3421" s="1227"/>
      <c r="AE3421" s="1227"/>
    </row>
    <row r="3422" spans="28:31">
      <c r="AB3422" s="1227"/>
      <c r="AC3422" s="1227"/>
      <c r="AD3422" s="1227"/>
      <c r="AE3422" s="1227"/>
    </row>
    <row r="3423" spans="28:31">
      <c r="AB3423" s="1227"/>
      <c r="AC3423" s="1227"/>
      <c r="AD3423" s="1227"/>
      <c r="AE3423" s="1227"/>
    </row>
    <row r="3424" spans="28:31">
      <c r="AB3424" s="1227"/>
      <c r="AC3424" s="1227"/>
      <c r="AD3424" s="1227"/>
      <c r="AE3424" s="1227"/>
    </row>
    <row r="3425" spans="28:31">
      <c r="AB3425" s="1227"/>
      <c r="AC3425" s="1227"/>
      <c r="AD3425" s="1227"/>
      <c r="AE3425" s="1227"/>
    </row>
    <row r="3426" spans="28:31">
      <c r="AB3426" s="1227"/>
      <c r="AC3426" s="1227"/>
      <c r="AD3426" s="1227"/>
      <c r="AE3426" s="1227"/>
    </row>
    <row r="3427" spans="28:31">
      <c r="AB3427" s="1227"/>
      <c r="AC3427" s="1227"/>
      <c r="AD3427" s="1227"/>
      <c r="AE3427" s="1227"/>
    </row>
    <row r="3428" spans="28:31">
      <c r="AB3428" s="1227"/>
      <c r="AC3428" s="1227"/>
      <c r="AD3428" s="1227"/>
      <c r="AE3428" s="1227"/>
    </row>
    <row r="3429" spans="28:31">
      <c r="AB3429" s="1227"/>
      <c r="AC3429" s="1227"/>
      <c r="AD3429" s="1227"/>
      <c r="AE3429" s="1227"/>
    </row>
    <row r="3430" spans="28:31">
      <c r="AB3430" s="1227"/>
      <c r="AC3430" s="1227"/>
      <c r="AD3430" s="1227"/>
      <c r="AE3430" s="1227"/>
    </row>
    <row r="3431" spans="28:31">
      <c r="AB3431" s="1227"/>
      <c r="AC3431" s="1227"/>
      <c r="AD3431" s="1227"/>
      <c r="AE3431" s="1227"/>
    </row>
    <row r="3432" spans="28:31">
      <c r="AB3432" s="1227"/>
      <c r="AC3432" s="1227"/>
      <c r="AD3432" s="1227"/>
      <c r="AE3432" s="1227"/>
    </row>
    <row r="3433" spans="28:31">
      <c r="AB3433" s="1227"/>
      <c r="AC3433" s="1227"/>
      <c r="AD3433" s="1227"/>
      <c r="AE3433" s="1227"/>
    </row>
    <row r="3434" spans="28:31">
      <c r="AB3434" s="1227"/>
      <c r="AC3434" s="1227"/>
      <c r="AD3434" s="1227"/>
      <c r="AE3434" s="1227"/>
    </row>
    <row r="3435" spans="28:31">
      <c r="AB3435" s="1227"/>
      <c r="AC3435" s="1227"/>
      <c r="AD3435" s="1227"/>
      <c r="AE3435" s="1227"/>
    </row>
    <row r="3436" spans="28:31">
      <c r="AB3436" s="1227"/>
      <c r="AC3436" s="1227"/>
      <c r="AD3436" s="1227"/>
      <c r="AE3436" s="1227"/>
    </row>
    <row r="3437" spans="28:31">
      <c r="AB3437" s="1227"/>
      <c r="AC3437" s="1227"/>
      <c r="AD3437" s="1227"/>
      <c r="AE3437" s="1227"/>
    </row>
    <row r="3438" spans="28:31">
      <c r="AB3438" s="1227"/>
      <c r="AC3438" s="1227"/>
      <c r="AD3438" s="1227"/>
      <c r="AE3438" s="1227"/>
    </row>
    <row r="3439" spans="28:31">
      <c r="AB3439" s="1227"/>
      <c r="AC3439" s="1227"/>
      <c r="AD3439" s="1227"/>
      <c r="AE3439" s="1227"/>
    </row>
    <row r="3440" spans="28:31">
      <c r="AB3440" s="1227"/>
      <c r="AC3440" s="1227"/>
      <c r="AD3440" s="1227"/>
      <c r="AE3440" s="1227"/>
    </row>
    <row r="3441" spans="28:31">
      <c r="AB3441" s="1227"/>
      <c r="AC3441" s="1227"/>
      <c r="AD3441" s="1227"/>
      <c r="AE3441" s="1227"/>
    </row>
    <row r="3442" spans="28:31">
      <c r="AB3442" s="1227"/>
      <c r="AC3442" s="1227"/>
      <c r="AD3442" s="1227"/>
      <c r="AE3442" s="1227"/>
    </row>
    <row r="3443" spans="28:31">
      <c r="AB3443" s="1227"/>
      <c r="AC3443" s="1227"/>
      <c r="AD3443" s="1227"/>
      <c r="AE3443" s="1227"/>
    </row>
    <row r="3444" spans="28:31">
      <c r="AB3444" s="1227"/>
      <c r="AC3444" s="1227"/>
      <c r="AD3444" s="1227"/>
      <c r="AE3444" s="1227"/>
    </row>
    <row r="3445" spans="28:31">
      <c r="AB3445" s="1227"/>
      <c r="AC3445" s="1227"/>
      <c r="AD3445" s="1227"/>
      <c r="AE3445" s="1227"/>
    </row>
    <row r="3446" spans="28:31">
      <c r="AB3446" s="1227"/>
      <c r="AC3446" s="1227"/>
      <c r="AD3446" s="1227"/>
      <c r="AE3446" s="1227"/>
    </row>
    <row r="3447" spans="28:31">
      <c r="AB3447" s="1227"/>
      <c r="AC3447" s="1227"/>
      <c r="AD3447" s="1227"/>
      <c r="AE3447" s="1227"/>
    </row>
    <row r="3448" spans="28:31">
      <c r="AB3448" s="1227"/>
      <c r="AC3448" s="1227"/>
      <c r="AD3448" s="1227"/>
      <c r="AE3448" s="1227"/>
    </row>
    <row r="3449" spans="28:31">
      <c r="AB3449" s="1227"/>
      <c r="AC3449" s="1227"/>
      <c r="AD3449" s="1227"/>
      <c r="AE3449" s="1227"/>
    </row>
    <row r="3450" spans="28:31">
      <c r="AB3450" s="1227"/>
      <c r="AC3450" s="1227"/>
      <c r="AD3450" s="1227"/>
      <c r="AE3450" s="1227"/>
    </row>
    <row r="3451" spans="28:31">
      <c r="AB3451" s="1227"/>
      <c r="AC3451" s="1227"/>
      <c r="AD3451" s="1227"/>
      <c r="AE3451" s="1227"/>
    </row>
    <row r="3452" spans="28:31">
      <c r="AB3452" s="1227"/>
      <c r="AC3452" s="1227"/>
      <c r="AD3452" s="1227"/>
      <c r="AE3452" s="1227"/>
    </row>
    <row r="3453" spans="28:31">
      <c r="AB3453" s="1227"/>
      <c r="AC3453" s="1227"/>
      <c r="AD3453" s="1227"/>
      <c r="AE3453" s="1227"/>
    </row>
    <row r="3454" spans="28:31">
      <c r="AB3454" s="1227"/>
      <c r="AC3454" s="1227"/>
      <c r="AD3454" s="1227"/>
      <c r="AE3454" s="1227"/>
    </row>
    <row r="3455" spans="28:31">
      <c r="AB3455" s="1227"/>
      <c r="AC3455" s="1227"/>
      <c r="AD3455" s="1227"/>
      <c r="AE3455" s="1227"/>
    </row>
    <row r="3456" spans="28:31">
      <c r="AB3456" s="1227"/>
      <c r="AC3456" s="1227"/>
      <c r="AD3456" s="1227"/>
      <c r="AE3456" s="1227"/>
    </row>
    <row r="3457" spans="28:31">
      <c r="AB3457" s="1227"/>
      <c r="AC3457" s="1227"/>
      <c r="AD3457" s="1227"/>
      <c r="AE3457" s="1227"/>
    </row>
    <row r="3458" spans="28:31">
      <c r="AB3458" s="1227"/>
      <c r="AC3458" s="1227"/>
      <c r="AD3458" s="1227"/>
      <c r="AE3458" s="1227"/>
    </row>
    <row r="3459" spans="28:31">
      <c r="AB3459" s="1227"/>
      <c r="AC3459" s="1227"/>
      <c r="AD3459" s="1227"/>
      <c r="AE3459" s="1227"/>
    </row>
    <row r="3460" spans="28:31">
      <c r="AB3460" s="1227"/>
      <c r="AC3460" s="1227"/>
      <c r="AD3460" s="1227"/>
      <c r="AE3460" s="1227"/>
    </row>
    <row r="3461" spans="28:31">
      <c r="AB3461" s="1227"/>
      <c r="AC3461" s="1227"/>
      <c r="AD3461" s="1227"/>
      <c r="AE3461" s="1227"/>
    </row>
    <row r="3462" spans="28:31">
      <c r="AB3462" s="1227"/>
      <c r="AC3462" s="1227"/>
      <c r="AD3462" s="1227"/>
      <c r="AE3462" s="1227"/>
    </row>
    <row r="3463" spans="28:31">
      <c r="AB3463" s="1227"/>
      <c r="AC3463" s="1227"/>
      <c r="AD3463" s="1227"/>
      <c r="AE3463" s="1227"/>
    </row>
    <row r="3464" spans="28:31">
      <c r="AB3464" s="1227"/>
      <c r="AC3464" s="1227"/>
      <c r="AD3464" s="1227"/>
      <c r="AE3464" s="1227"/>
    </row>
    <row r="3465" spans="28:31">
      <c r="AB3465" s="1227"/>
      <c r="AC3465" s="1227"/>
      <c r="AD3465" s="1227"/>
      <c r="AE3465" s="1227"/>
    </row>
    <row r="3466" spans="28:31">
      <c r="AB3466" s="1227"/>
      <c r="AC3466" s="1227"/>
      <c r="AD3466" s="1227"/>
      <c r="AE3466" s="1227"/>
    </row>
    <row r="3467" spans="28:31">
      <c r="AB3467" s="1227"/>
      <c r="AC3467" s="1227"/>
      <c r="AD3467" s="1227"/>
      <c r="AE3467" s="1227"/>
    </row>
    <row r="3468" spans="28:31">
      <c r="AB3468" s="1227"/>
      <c r="AC3468" s="1227"/>
      <c r="AD3468" s="1227"/>
      <c r="AE3468" s="1227"/>
    </row>
    <row r="3469" spans="28:31">
      <c r="AB3469" s="1227"/>
      <c r="AC3469" s="1227"/>
      <c r="AD3469" s="1227"/>
      <c r="AE3469" s="1227"/>
    </row>
    <row r="3470" spans="28:31">
      <c r="AB3470" s="1227"/>
      <c r="AC3470" s="1227"/>
      <c r="AD3470" s="1227"/>
      <c r="AE3470" s="1227"/>
    </row>
    <row r="3471" spans="28:31">
      <c r="AB3471" s="1227"/>
      <c r="AC3471" s="1227"/>
      <c r="AD3471" s="1227"/>
      <c r="AE3471" s="1227"/>
    </row>
    <row r="3472" spans="28:31">
      <c r="AB3472" s="1227"/>
      <c r="AC3472" s="1227"/>
      <c r="AD3472" s="1227"/>
      <c r="AE3472" s="1227"/>
    </row>
    <row r="3473" spans="28:31">
      <c r="AB3473" s="1227"/>
      <c r="AC3473" s="1227"/>
      <c r="AD3473" s="1227"/>
      <c r="AE3473" s="1227"/>
    </row>
    <row r="3474" spans="28:31">
      <c r="AB3474" s="1227"/>
      <c r="AC3474" s="1227"/>
      <c r="AD3474" s="1227"/>
      <c r="AE3474" s="1227"/>
    </row>
    <row r="3475" spans="28:31">
      <c r="AB3475" s="1227"/>
      <c r="AC3475" s="1227"/>
      <c r="AD3475" s="1227"/>
      <c r="AE3475" s="1227"/>
    </row>
    <row r="3476" spans="28:31">
      <c r="AB3476" s="1227"/>
      <c r="AC3476" s="1227"/>
      <c r="AD3476" s="1227"/>
      <c r="AE3476" s="1227"/>
    </row>
    <row r="3477" spans="28:31">
      <c r="AB3477" s="1227"/>
      <c r="AC3477" s="1227"/>
      <c r="AD3477" s="1227"/>
      <c r="AE3477" s="1227"/>
    </row>
    <row r="3478" spans="28:31">
      <c r="AB3478" s="1227"/>
      <c r="AC3478" s="1227"/>
      <c r="AD3478" s="1227"/>
      <c r="AE3478" s="1227"/>
    </row>
    <row r="3479" spans="28:31">
      <c r="AB3479" s="1227"/>
      <c r="AC3479" s="1227"/>
      <c r="AD3479" s="1227"/>
      <c r="AE3479" s="1227"/>
    </row>
    <row r="3480" spans="28:31">
      <c r="AB3480" s="1227"/>
      <c r="AC3480" s="1227"/>
      <c r="AD3480" s="1227"/>
      <c r="AE3480" s="1227"/>
    </row>
    <row r="3481" spans="28:31">
      <c r="AB3481" s="1227"/>
      <c r="AC3481" s="1227"/>
      <c r="AD3481" s="1227"/>
      <c r="AE3481" s="1227"/>
    </row>
    <row r="3482" spans="28:31">
      <c r="AB3482" s="1227"/>
      <c r="AC3482" s="1227"/>
      <c r="AD3482" s="1227"/>
      <c r="AE3482" s="1227"/>
    </row>
    <row r="3483" spans="28:31">
      <c r="AB3483" s="1227"/>
      <c r="AC3483" s="1227"/>
      <c r="AD3483" s="1227"/>
      <c r="AE3483" s="1227"/>
    </row>
    <row r="3484" spans="28:31">
      <c r="AB3484" s="1227"/>
      <c r="AC3484" s="1227"/>
      <c r="AD3484" s="1227"/>
      <c r="AE3484" s="1227"/>
    </row>
    <row r="3485" spans="28:31">
      <c r="AB3485" s="1227"/>
      <c r="AC3485" s="1227"/>
      <c r="AD3485" s="1227"/>
      <c r="AE3485" s="1227"/>
    </row>
    <row r="3486" spans="28:31">
      <c r="AB3486" s="1227"/>
      <c r="AC3486" s="1227"/>
      <c r="AD3486" s="1227"/>
      <c r="AE3486" s="1227"/>
    </row>
    <row r="3487" spans="28:31">
      <c r="AB3487" s="1227"/>
      <c r="AC3487" s="1227"/>
      <c r="AD3487" s="1227"/>
      <c r="AE3487" s="1227"/>
    </row>
    <row r="3488" spans="28:31">
      <c r="AB3488" s="1227"/>
      <c r="AC3488" s="1227"/>
      <c r="AD3488" s="1227"/>
      <c r="AE3488" s="1227"/>
    </row>
    <row r="3489" spans="28:31">
      <c r="AB3489" s="1227"/>
      <c r="AC3489" s="1227"/>
      <c r="AD3489" s="1227"/>
      <c r="AE3489" s="1227"/>
    </row>
    <row r="3490" spans="28:31">
      <c r="AB3490" s="1227"/>
      <c r="AC3490" s="1227"/>
      <c r="AD3490" s="1227"/>
      <c r="AE3490" s="1227"/>
    </row>
    <row r="3491" spans="28:31">
      <c r="AB3491" s="1227"/>
      <c r="AC3491" s="1227"/>
      <c r="AD3491" s="1227"/>
      <c r="AE3491" s="1227"/>
    </row>
    <row r="3492" spans="28:31">
      <c r="AB3492" s="1227"/>
      <c r="AC3492" s="1227"/>
      <c r="AD3492" s="1227"/>
      <c r="AE3492" s="1227"/>
    </row>
    <row r="3493" spans="28:31">
      <c r="AB3493" s="1227"/>
      <c r="AC3493" s="1227"/>
      <c r="AD3493" s="1227"/>
      <c r="AE3493" s="1227"/>
    </row>
    <row r="3494" spans="28:31">
      <c r="AB3494" s="1227"/>
      <c r="AC3494" s="1227"/>
      <c r="AD3494" s="1227"/>
      <c r="AE3494" s="1227"/>
    </row>
    <row r="3495" spans="28:31">
      <c r="AB3495" s="1227"/>
      <c r="AC3495" s="1227"/>
      <c r="AD3495" s="1227"/>
      <c r="AE3495" s="1227"/>
    </row>
    <row r="3496" spans="28:31">
      <c r="AB3496" s="1227"/>
      <c r="AC3496" s="1227"/>
      <c r="AD3496" s="1227"/>
      <c r="AE3496" s="1227"/>
    </row>
    <row r="3497" spans="28:31">
      <c r="AB3497" s="1227"/>
      <c r="AC3497" s="1227"/>
      <c r="AD3497" s="1227"/>
      <c r="AE3497" s="1227"/>
    </row>
    <row r="3498" spans="28:31">
      <c r="AB3498" s="1227"/>
      <c r="AC3498" s="1227"/>
      <c r="AD3498" s="1227"/>
      <c r="AE3498" s="1227"/>
    </row>
    <row r="3499" spans="28:31">
      <c r="AB3499" s="1227"/>
      <c r="AC3499" s="1227"/>
      <c r="AD3499" s="1227"/>
      <c r="AE3499" s="1227"/>
    </row>
    <row r="3500" spans="28:31">
      <c r="AB3500" s="1227"/>
      <c r="AC3500" s="1227"/>
      <c r="AD3500" s="1227"/>
      <c r="AE3500" s="1227"/>
    </row>
    <row r="3501" spans="28:31">
      <c r="AB3501" s="1227"/>
      <c r="AC3501" s="1227"/>
      <c r="AD3501" s="1227"/>
      <c r="AE3501" s="1227"/>
    </row>
    <row r="3502" spans="28:31">
      <c r="AB3502" s="1227"/>
      <c r="AC3502" s="1227"/>
      <c r="AD3502" s="1227"/>
      <c r="AE3502" s="1227"/>
    </row>
    <row r="3503" spans="28:31">
      <c r="AB3503" s="1227"/>
      <c r="AC3503" s="1227"/>
      <c r="AD3503" s="1227"/>
      <c r="AE3503" s="1227"/>
    </row>
    <row r="3504" spans="28:31">
      <c r="AB3504" s="1227"/>
      <c r="AC3504" s="1227"/>
      <c r="AD3504" s="1227"/>
      <c r="AE3504" s="1227"/>
    </row>
    <row r="3505" spans="28:31">
      <c r="AB3505" s="1227"/>
      <c r="AC3505" s="1227"/>
      <c r="AD3505" s="1227"/>
      <c r="AE3505" s="1227"/>
    </row>
    <row r="3506" spans="28:31">
      <c r="AB3506" s="1227"/>
      <c r="AC3506" s="1227"/>
      <c r="AD3506" s="1227"/>
      <c r="AE3506" s="1227"/>
    </row>
    <row r="3507" spans="28:31">
      <c r="AB3507" s="1227"/>
      <c r="AC3507" s="1227"/>
      <c r="AD3507" s="1227"/>
      <c r="AE3507" s="1227"/>
    </row>
    <row r="3508" spans="28:31">
      <c r="AB3508" s="1227"/>
      <c r="AC3508" s="1227"/>
      <c r="AD3508" s="1227"/>
      <c r="AE3508" s="1227"/>
    </row>
    <row r="3509" spans="28:31">
      <c r="AB3509" s="1227"/>
      <c r="AC3509" s="1227"/>
      <c r="AD3509" s="1227"/>
      <c r="AE3509" s="1227"/>
    </row>
    <row r="3510" spans="28:31">
      <c r="AB3510" s="1227"/>
      <c r="AC3510" s="1227"/>
      <c r="AD3510" s="1227"/>
      <c r="AE3510" s="1227"/>
    </row>
    <row r="3511" spans="28:31">
      <c r="AB3511" s="1227"/>
      <c r="AC3511" s="1227"/>
      <c r="AD3511" s="1227"/>
      <c r="AE3511" s="1227"/>
    </row>
    <row r="3512" spans="28:31">
      <c r="AB3512" s="1227"/>
      <c r="AC3512" s="1227"/>
      <c r="AD3512" s="1227"/>
      <c r="AE3512" s="1227"/>
    </row>
    <row r="3513" spans="28:31">
      <c r="AB3513" s="1227"/>
      <c r="AC3513" s="1227"/>
      <c r="AD3513" s="1227"/>
      <c r="AE3513" s="1227"/>
    </row>
    <row r="3514" spans="28:31">
      <c r="AB3514" s="1227"/>
      <c r="AC3514" s="1227"/>
      <c r="AD3514" s="1227"/>
      <c r="AE3514" s="1227"/>
    </row>
    <row r="3515" spans="28:31">
      <c r="AB3515" s="1227"/>
      <c r="AC3515" s="1227"/>
      <c r="AD3515" s="1227"/>
      <c r="AE3515" s="1227"/>
    </row>
    <row r="3516" spans="28:31">
      <c r="AB3516" s="1227"/>
      <c r="AC3516" s="1227"/>
      <c r="AD3516" s="1227"/>
      <c r="AE3516" s="1227"/>
    </row>
    <row r="3517" spans="28:31">
      <c r="AB3517" s="1227"/>
      <c r="AC3517" s="1227"/>
      <c r="AD3517" s="1227"/>
      <c r="AE3517" s="1227"/>
    </row>
    <row r="3518" spans="28:31">
      <c r="AB3518" s="1227"/>
      <c r="AC3518" s="1227"/>
      <c r="AD3518" s="1227"/>
      <c r="AE3518" s="1227"/>
    </row>
    <row r="3519" spans="28:31">
      <c r="AB3519" s="1227"/>
      <c r="AC3519" s="1227"/>
      <c r="AD3519" s="1227"/>
      <c r="AE3519" s="1227"/>
    </row>
    <row r="3520" spans="28:31">
      <c r="AB3520" s="1227"/>
      <c r="AC3520" s="1227"/>
      <c r="AD3520" s="1227"/>
      <c r="AE3520" s="1227"/>
    </row>
    <row r="3521" spans="28:31">
      <c r="AB3521" s="1227"/>
      <c r="AC3521" s="1227"/>
      <c r="AD3521" s="1227"/>
      <c r="AE3521" s="1227"/>
    </row>
    <row r="3522" spans="28:31">
      <c r="AB3522" s="1227"/>
      <c r="AC3522" s="1227"/>
      <c r="AD3522" s="1227"/>
      <c r="AE3522" s="1227"/>
    </row>
    <row r="3523" spans="28:31">
      <c r="AB3523" s="1227"/>
      <c r="AC3523" s="1227"/>
      <c r="AD3523" s="1227"/>
      <c r="AE3523" s="1227"/>
    </row>
    <row r="3524" spans="28:31">
      <c r="AB3524" s="1227"/>
      <c r="AC3524" s="1227"/>
      <c r="AD3524" s="1227"/>
      <c r="AE3524" s="1227"/>
    </row>
    <row r="3525" spans="28:31">
      <c r="AB3525" s="1227"/>
      <c r="AC3525" s="1227"/>
      <c r="AD3525" s="1227"/>
      <c r="AE3525" s="1227"/>
    </row>
    <row r="3526" spans="28:31">
      <c r="AB3526" s="1227"/>
      <c r="AC3526" s="1227"/>
      <c r="AD3526" s="1227"/>
      <c r="AE3526" s="1227"/>
    </row>
    <row r="3527" spans="28:31">
      <c r="AB3527" s="1227"/>
      <c r="AC3527" s="1227"/>
      <c r="AD3527" s="1227"/>
      <c r="AE3527" s="1227"/>
    </row>
    <row r="3528" spans="28:31">
      <c r="AB3528" s="1227"/>
      <c r="AC3528" s="1227"/>
      <c r="AD3528" s="1227"/>
      <c r="AE3528" s="1227"/>
    </row>
    <row r="3529" spans="28:31">
      <c r="AB3529" s="1227"/>
      <c r="AC3529" s="1227"/>
      <c r="AD3529" s="1227"/>
      <c r="AE3529" s="1227"/>
    </row>
    <row r="3530" spans="28:31">
      <c r="AB3530" s="1227"/>
      <c r="AC3530" s="1227"/>
      <c r="AD3530" s="1227"/>
      <c r="AE3530" s="1227"/>
    </row>
    <row r="3531" spans="28:31">
      <c r="AB3531" s="1227"/>
      <c r="AC3531" s="1227"/>
      <c r="AD3531" s="1227"/>
      <c r="AE3531" s="1227"/>
    </row>
    <row r="3532" spans="28:31">
      <c r="AB3532" s="1227"/>
      <c r="AC3532" s="1227"/>
      <c r="AD3532" s="1227"/>
      <c r="AE3532" s="1227"/>
    </row>
    <row r="3533" spans="28:31">
      <c r="AB3533" s="1227"/>
      <c r="AC3533" s="1227"/>
      <c r="AD3533" s="1227"/>
      <c r="AE3533" s="1227"/>
    </row>
    <row r="3534" spans="28:31">
      <c r="AB3534" s="1227"/>
      <c r="AC3534" s="1227"/>
      <c r="AD3534" s="1227"/>
      <c r="AE3534" s="1227"/>
    </row>
    <row r="3535" spans="28:31">
      <c r="AB3535" s="1227"/>
      <c r="AC3535" s="1227"/>
      <c r="AD3535" s="1227"/>
      <c r="AE3535" s="1227"/>
    </row>
    <row r="3536" spans="28:31">
      <c r="AB3536" s="1227"/>
      <c r="AC3536" s="1227"/>
      <c r="AD3536" s="1227"/>
      <c r="AE3536" s="1227"/>
    </row>
    <row r="3537" spans="28:31">
      <c r="AB3537" s="1227"/>
      <c r="AC3537" s="1227"/>
      <c r="AD3537" s="1227"/>
      <c r="AE3537" s="1227"/>
    </row>
    <row r="3538" spans="28:31">
      <c r="AB3538" s="1227"/>
      <c r="AC3538" s="1227"/>
      <c r="AD3538" s="1227"/>
      <c r="AE3538" s="1227"/>
    </row>
    <row r="3539" spans="28:31">
      <c r="AB3539" s="1227"/>
      <c r="AC3539" s="1227"/>
      <c r="AD3539" s="1227"/>
      <c r="AE3539" s="1227"/>
    </row>
    <row r="3540" spans="28:31">
      <c r="AB3540" s="1227"/>
      <c r="AC3540" s="1227"/>
      <c r="AD3540" s="1227"/>
      <c r="AE3540" s="1227"/>
    </row>
    <row r="3541" spans="28:31">
      <c r="AB3541" s="1227"/>
      <c r="AC3541" s="1227"/>
      <c r="AD3541" s="1227"/>
      <c r="AE3541" s="1227"/>
    </row>
    <row r="3542" spans="28:31">
      <c r="AB3542" s="1227"/>
      <c r="AC3542" s="1227"/>
      <c r="AD3542" s="1227"/>
      <c r="AE3542" s="1227"/>
    </row>
    <row r="3543" spans="28:31">
      <c r="AB3543" s="1227"/>
      <c r="AC3543" s="1227"/>
      <c r="AD3543" s="1227"/>
      <c r="AE3543" s="1227"/>
    </row>
    <row r="3544" spans="28:31">
      <c r="AB3544" s="1227"/>
      <c r="AC3544" s="1227"/>
      <c r="AD3544" s="1227"/>
      <c r="AE3544" s="1227"/>
    </row>
    <row r="3545" spans="28:31">
      <c r="AB3545" s="1227"/>
      <c r="AC3545" s="1227"/>
      <c r="AD3545" s="1227"/>
      <c r="AE3545" s="1227"/>
    </row>
    <row r="3546" spans="28:31">
      <c r="AB3546" s="1227"/>
      <c r="AC3546" s="1227"/>
      <c r="AD3546" s="1227"/>
      <c r="AE3546" s="1227"/>
    </row>
    <row r="3547" spans="28:31">
      <c r="AB3547" s="1227"/>
      <c r="AC3547" s="1227"/>
      <c r="AD3547" s="1227"/>
      <c r="AE3547" s="1227"/>
    </row>
    <row r="3548" spans="28:31">
      <c r="AB3548" s="1227"/>
      <c r="AC3548" s="1227"/>
      <c r="AD3548" s="1227"/>
      <c r="AE3548" s="1227"/>
    </row>
    <row r="3549" spans="28:31">
      <c r="AB3549" s="1227"/>
      <c r="AC3549" s="1227"/>
      <c r="AD3549" s="1227"/>
      <c r="AE3549" s="1227"/>
    </row>
    <row r="3550" spans="28:31">
      <c r="AB3550" s="1227"/>
      <c r="AC3550" s="1227"/>
      <c r="AD3550" s="1227"/>
      <c r="AE3550" s="1227"/>
    </row>
    <row r="3551" spans="28:31">
      <c r="AB3551" s="1227"/>
      <c r="AC3551" s="1227"/>
      <c r="AD3551" s="1227"/>
      <c r="AE3551" s="1227"/>
    </row>
    <row r="3552" spans="28:31">
      <c r="AB3552" s="1227"/>
      <c r="AC3552" s="1227"/>
      <c r="AD3552" s="1227"/>
      <c r="AE3552" s="1227"/>
    </row>
    <row r="3553" spans="28:31">
      <c r="AB3553" s="1227"/>
      <c r="AC3553" s="1227"/>
      <c r="AD3553" s="1227"/>
      <c r="AE3553" s="1227"/>
    </row>
    <row r="3554" spans="28:31">
      <c r="AB3554" s="1227"/>
      <c r="AC3554" s="1227"/>
      <c r="AD3554" s="1227"/>
      <c r="AE3554" s="1227"/>
    </row>
    <row r="3555" spans="28:31">
      <c r="AB3555" s="1227"/>
      <c r="AC3555" s="1227"/>
      <c r="AD3555" s="1227"/>
      <c r="AE3555" s="1227"/>
    </row>
    <row r="3556" spans="28:31">
      <c r="AB3556" s="1227"/>
      <c r="AC3556" s="1227"/>
      <c r="AD3556" s="1227"/>
      <c r="AE3556" s="1227"/>
    </row>
    <row r="3557" spans="28:31">
      <c r="AB3557" s="1227"/>
      <c r="AC3557" s="1227"/>
      <c r="AD3557" s="1227"/>
      <c r="AE3557" s="1227"/>
    </row>
    <row r="3558" spans="28:31">
      <c r="AB3558" s="1227"/>
      <c r="AC3558" s="1227"/>
      <c r="AD3558" s="1227"/>
      <c r="AE3558" s="1227"/>
    </row>
    <row r="3559" spans="28:31">
      <c r="AB3559" s="1227"/>
      <c r="AC3559" s="1227"/>
      <c r="AD3559" s="1227"/>
      <c r="AE3559" s="1227"/>
    </row>
    <row r="3560" spans="28:31">
      <c r="AB3560" s="1227"/>
      <c r="AC3560" s="1227"/>
      <c r="AD3560" s="1227"/>
      <c r="AE3560" s="1227"/>
    </row>
    <row r="3561" spans="28:31">
      <c r="AB3561" s="1227"/>
      <c r="AC3561" s="1227"/>
      <c r="AD3561" s="1227"/>
      <c r="AE3561" s="1227"/>
    </row>
    <row r="3562" spans="28:31">
      <c r="AB3562" s="1227"/>
      <c r="AC3562" s="1227"/>
      <c r="AD3562" s="1227"/>
      <c r="AE3562" s="1227"/>
    </row>
    <row r="3563" spans="28:31">
      <c r="AB3563" s="1227"/>
      <c r="AC3563" s="1227"/>
      <c r="AD3563" s="1227"/>
      <c r="AE3563" s="1227"/>
    </row>
    <row r="3564" spans="28:31">
      <c r="AB3564" s="1227"/>
      <c r="AC3564" s="1227"/>
      <c r="AD3564" s="1227"/>
      <c r="AE3564" s="1227"/>
    </row>
    <row r="3565" spans="28:31">
      <c r="AB3565" s="1227"/>
      <c r="AC3565" s="1227"/>
      <c r="AD3565" s="1227"/>
      <c r="AE3565" s="1227"/>
    </row>
    <row r="3566" spans="28:31">
      <c r="AB3566" s="1227"/>
      <c r="AC3566" s="1227"/>
      <c r="AD3566" s="1227"/>
      <c r="AE3566" s="1227"/>
    </row>
    <row r="3567" spans="28:31">
      <c r="AB3567" s="1227"/>
      <c r="AC3567" s="1227"/>
      <c r="AD3567" s="1227"/>
      <c r="AE3567" s="1227"/>
    </row>
    <row r="3568" spans="28:31">
      <c r="AB3568" s="1227"/>
      <c r="AC3568" s="1227"/>
      <c r="AD3568" s="1227"/>
      <c r="AE3568" s="1227"/>
    </row>
    <row r="3569" spans="28:31">
      <c r="AB3569" s="1227"/>
      <c r="AC3569" s="1227"/>
      <c r="AD3569" s="1227"/>
      <c r="AE3569" s="1227"/>
    </row>
    <row r="3570" spans="28:31">
      <c r="AB3570" s="1227"/>
      <c r="AC3570" s="1227"/>
      <c r="AD3570" s="1227"/>
      <c r="AE3570" s="1227"/>
    </row>
    <row r="3571" spans="28:31">
      <c r="AB3571" s="1227"/>
      <c r="AC3571" s="1227"/>
      <c r="AD3571" s="1227"/>
      <c r="AE3571" s="1227"/>
    </row>
    <row r="3572" spans="28:31">
      <c r="AB3572" s="1227"/>
      <c r="AC3572" s="1227"/>
      <c r="AD3572" s="1227"/>
      <c r="AE3572" s="1227"/>
    </row>
    <row r="3573" spans="28:31">
      <c r="AB3573" s="1227"/>
      <c r="AC3573" s="1227"/>
      <c r="AD3573" s="1227"/>
      <c r="AE3573" s="1227"/>
    </row>
    <row r="3574" spans="28:31">
      <c r="AB3574" s="1227"/>
      <c r="AC3574" s="1227"/>
      <c r="AD3574" s="1227"/>
      <c r="AE3574" s="1227"/>
    </row>
    <row r="3575" spans="28:31">
      <c r="AB3575" s="1227"/>
      <c r="AC3575" s="1227"/>
      <c r="AD3575" s="1227"/>
      <c r="AE3575" s="1227"/>
    </row>
    <row r="3576" spans="28:31">
      <c r="AB3576" s="1227"/>
      <c r="AC3576" s="1227"/>
      <c r="AD3576" s="1227"/>
      <c r="AE3576" s="1227"/>
    </row>
    <row r="3577" spans="28:31">
      <c r="AB3577" s="1227"/>
      <c r="AC3577" s="1227"/>
      <c r="AD3577" s="1227"/>
      <c r="AE3577" s="1227"/>
    </row>
    <row r="3578" spans="28:31">
      <c r="AB3578" s="1227"/>
      <c r="AC3578" s="1227"/>
      <c r="AD3578" s="1227"/>
      <c r="AE3578" s="1227"/>
    </row>
    <row r="3579" spans="28:31">
      <c r="AB3579" s="1227"/>
      <c r="AC3579" s="1227"/>
      <c r="AD3579" s="1227"/>
      <c r="AE3579" s="1227"/>
    </row>
    <row r="3580" spans="28:31">
      <c r="AB3580" s="1227"/>
      <c r="AC3580" s="1227"/>
      <c r="AD3580" s="1227"/>
      <c r="AE3580" s="1227"/>
    </row>
    <row r="3581" spans="28:31">
      <c r="AB3581" s="1227"/>
      <c r="AC3581" s="1227"/>
      <c r="AD3581" s="1227"/>
      <c r="AE3581" s="1227"/>
    </row>
    <row r="3582" spans="28:31">
      <c r="AB3582" s="1227"/>
      <c r="AC3582" s="1227"/>
      <c r="AD3582" s="1227"/>
      <c r="AE3582" s="1227"/>
    </row>
    <row r="3583" spans="28:31">
      <c r="AB3583" s="1227"/>
      <c r="AC3583" s="1227"/>
      <c r="AD3583" s="1227"/>
      <c r="AE3583" s="1227"/>
    </row>
    <row r="3584" spans="28:31">
      <c r="AB3584" s="1227"/>
      <c r="AC3584" s="1227"/>
      <c r="AD3584" s="1227"/>
      <c r="AE3584" s="1227"/>
    </row>
    <row r="3585" spans="28:31">
      <c r="AB3585" s="1227"/>
      <c r="AC3585" s="1227"/>
      <c r="AD3585" s="1227"/>
      <c r="AE3585" s="1227"/>
    </row>
    <row r="3586" spans="28:31">
      <c r="AB3586" s="1227"/>
      <c r="AC3586" s="1227"/>
      <c r="AD3586" s="1227"/>
      <c r="AE3586" s="1227"/>
    </row>
    <row r="3587" spans="28:31">
      <c r="AB3587" s="1227"/>
      <c r="AC3587" s="1227"/>
      <c r="AD3587" s="1227"/>
      <c r="AE3587" s="1227"/>
    </row>
    <row r="3588" spans="28:31">
      <c r="AB3588" s="1227"/>
      <c r="AC3588" s="1227"/>
      <c r="AD3588" s="1227"/>
      <c r="AE3588" s="1227"/>
    </row>
    <row r="3589" spans="28:31">
      <c r="AB3589" s="1227"/>
      <c r="AC3589" s="1227"/>
      <c r="AD3589" s="1227"/>
      <c r="AE3589" s="1227"/>
    </row>
    <row r="3590" spans="28:31">
      <c r="AB3590" s="1227"/>
      <c r="AC3590" s="1227"/>
      <c r="AD3590" s="1227"/>
      <c r="AE3590" s="1227"/>
    </row>
    <row r="3591" spans="28:31">
      <c r="AB3591" s="1227"/>
      <c r="AC3591" s="1227"/>
      <c r="AD3591" s="1227"/>
      <c r="AE3591" s="1227"/>
    </row>
    <row r="3592" spans="28:31">
      <c r="AB3592" s="1227"/>
      <c r="AC3592" s="1227"/>
      <c r="AD3592" s="1227"/>
      <c r="AE3592" s="1227"/>
    </row>
    <row r="3593" spans="28:31">
      <c r="AB3593" s="1227"/>
      <c r="AC3593" s="1227"/>
      <c r="AD3593" s="1227"/>
      <c r="AE3593" s="1227"/>
    </row>
    <row r="3594" spans="28:31">
      <c r="AB3594" s="1227"/>
      <c r="AC3594" s="1227"/>
      <c r="AD3594" s="1227"/>
      <c r="AE3594" s="1227"/>
    </row>
    <row r="3595" spans="28:31">
      <c r="AB3595" s="1227"/>
      <c r="AC3595" s="1227"/>
      <c r="AD3595" s="1227"/>
      <c r="AE3595" s="1227"/>
    </row>
    <row r="3596" spans="28:31">
      <c r="AB3596" s="1227"/>
      <c r="AC3596" s="1227"/>
      <c r="AD3596" s="1227"/>
      <c r="AE3596" s="1227"/>
    </row>
    <row r="3597" spans="28:31">
      <c r="AB3597" s="1227"/>
      <c r="AC3597" s="1227"/>
      <c r="AD3597" s="1227"/>
      <c r="AE3597" s="1227"/>
    </row>
    <row r="3598" spans="28:31">
      <c r="AB3598" s="1227"/>
      <c r="AC3598" s="1227"/>
      <c r="AD3598" s="1227"/>
      <c r="AE3598" s="1227"/>
    </row>
    <row r="3599" spans="28:31">
      <c r="AB3599" s="1227"/>
      <c r="AC3599" s="1227"/>
      <c r="AD3599" s="1227"/>
      <c r="AE3599" s="1227"/>
    </row>
    <row r="3600" spans="28:31">
      <c r="AB3600" s="1227"/>
      <c r="AC3600" s="1227"/>
      <c r="AD3600" s="1227"/>
      <c r="AE3600" s="1227"/>
    </row>
    <row r="3601" spans="28:31">
      <c r="AB3601" s="1227"/>
      <c r="AC3601" s="1227"/>
      <c r="AD3601" s="1227"/>
      <c r="AE3601" s="1227"/>
    </row>
    <row r="3602" spans="28:31">
      <c r="AB3602" s="1227"/>
      <c r="AC3602" s="1227"/>
      <c r="AD3602" s="1227"/>
      <c r="AE3602" s="1227"/>
    </row>
    <row r="3603" spans="28:31">
      <c r="AB3603" s="1227"/>
      <c r="AC3603" s="1227"/>
      <c r="AD3603" s="1227"/>
      <c r="AE3603" s="1227"/>
    </row>
    <row r="3604" spans="28:31">
      <c r="AB3604" s="1227"/>
      <c r="AC3604" s="1227"/>
      <c r="AD3604" s="1227"/>
      <c r="AE3604" s="1227"/>
    </row>
    <row r="3605" spans="28:31">
      <c r="AB3605" s="1227"/>
      <c r="AC3605" s="1227"/>
      <c r="AD3605" s="1227"/>
      <c r="AE3605" s="1227"/>
    </row>
    <row r="3606" spans="28:31">
      <c r="AB3606" s="1227"/>
      <c r="AC3606" s="1227"/>
      <c r="AD3606" s="1227"/>
      <c r="AE3606" s="1227"/>
    </row>
    <row r="3607" spans="28:31">
      <c r="AB3607" s="1227"/>
      <c r="AC3607" s="1227"/>
      <c r="AD3607" s="1227"/>
      <c r="AE3607" s="1227"/>
    </row>
    <row r="3608" spans="28:31">
      <c r="AB3608" s="1227"/>
      <c r="AC3608" s="1227"/>
      <c r="AD3608" s="1227"/>
      <c r="AE3608" s="1227"/>
    </row>
    <row r="3609" spans="28:31">
      <c r="AB3609" s="1227"/>
      <c r="AC3609" s="1227"/>
      <c r="AD3609" s="1227"/>
      <c r="AE3609" s="1227"/>
    </row>
    <row r="3610" spans="28:31">
      <c r="AB3610" s="1227"/>
      <c r="AC3610" s="1227"/>
      <c r="AD3610" s="1227"/>
      <c r="AE3610" s="1227"/>
    </row>
    <row r="3611" spans="28:31">
      <c r="AB3611" s="1227"/>
      <c r="AC3611" s="1227"/>
      <c r="AD3611" s="1227"/>
      <c r="AE3611" s="1227"/>
    </row>
    <row r="3612" spans="28:31">
      <c r="AB3612" s="1227"/>
      <c r="AC3612" s="1227"/>
      <c r="AD3612" s="1227"/>
      <c r="AE3612" s="1227"/>
    </row>
    <row r="3613" spans="28:31">
      <c r="AB3613" s="1227"/>
      <c r="AC3613" s="1227"/>
      <c r="AD3613" s="1227"/>
      <c r="AE3613" s="1227"/>
    </row>
    <row r="3614" spans="28:31">
      <c r="AB3614" s="1227"/>
      <c r="AC3614" s="1227"/>
      <c r="AD3614" s="1227"/>
      <c r="AE3614" s="1227"/>
    </row>
    <row r="3615" spans="28:31">
      <c r="AB3615" s="1227"/>
      <c r="AC3615" s="1227"/>
      <c r="AD3615" s="1227"/>
      <c r="AE3615" s="1227"/>
    </row>
    <row r="3616" spans="28:31">
      <c r="AB3616" s="1227"/>
      <c r="AC3616" s="1227"/>
      <c r="AD3616" s="1227"/>
      <c r="AE3616" s="1227"/>
    </row>
    <row r="3617" spans="28:31">
      <c r="AB3617" s="1227"/>
      <c r="AC3617" s="1227"/>
      <c r="AD3617" s="1227"/>
      <c r="AE3617" s="1227"/>
    </row>
    <row r="3618" spans="28:31">
      <c r="AB3618" s="1227"/>
      <c r="AC3618" s="1227"/>
      <c r="AD3618" s="1227"/>
      <c r="AE3618" s="1227"/>
    </row>
    <row r="3619" spans="28:31">
      <c r="AB3619" s="1227"/>
      <c r="AC3619" s="1227"/>
      <c r="AD3619" s="1227"/>
      <c r="AE3619" s="1227"/>
    </row>
    <row r="3620" spans="28:31">
      <c r="AB3620" s="1227"/>
      <c r="AC3620" s="1227"/>
      <c r="AD3620" s="1227"/>
      <c r="AE3620" s="1227"/>
    </row>
    <row r="3621" spans="28:31">
      <c r="AB3621" s="1227"/>
      <c r="AC3621" s="1227"/>
      <c r="AD3621" s="1227"/>
      <c r="AE3621" s="1227"/>
    </row>
    <row r="3622" spans="28:31">
      <c r="AB3622" s="1227"/>
      <c r="AC3622" s="1227"/>
      <c r="AD3622" s="1227"/>
      <c r="AE3622" s="1227"/>
    </row>
    <row r="3623" spans="28:31">
      <c r="AB3623" s="1227"/>
      <c r="AC3623" s="1227"/>
      <c r="AD3623" s="1227"/>
      <c r="AE3623" s="1227"/>
    </row>
    <row r="3624" spans="28:31">
      <c r="AB3624" s="1227"/>
      <c r="AC3624" s="1227"/>
      <c r="AD3624" s="1227"/>
      <c r="AE3624" s="1227"/>
    </row>
    <row r="3625" spans="28:31">
      <c r="AB3625" s="1227"/>
      <c r="AC3625" s="1227"/>
      <c r="AD3625" s="1227"/>
      <c r="AE3625" s="1227"/>
    </row>
    <row r="3626" spans="28:31">
      <c r="AB3626" s="1227"/>
      <c r="AC3626" s="1227"/>
      <c r="AD3626" s="1227"/>
      <c r="AE3626" s="1227"/>
    </row>
    <row r="3627" spans="28:31">
      <c r="AB3627" s="1227"/>
      <c r="AC3627" s="1227"/>
      <c r="AD3627" s="1227"/>
      <c r="AE3627" s="1227"/>
    </row>
    <row r="3628" spans="28:31">
      <c r="AB3628" s="1227"/>
      <c r="AC3628" s="1227"/>
      <c r="AD3628" s="1227"/>
      <c r="AE3628" s="1227"/>
    </row>
    <row r="3629" spans="28:31">
      <c r="AB3629" s="1227"/>
      <c r="AC3629" s="1227"/>
      <c r="AD3629" s="1227"/>
      <c r="AE3629" s="1227"/>
    </row>
    <row r="3630" spans="28:31">
      <c r="AB3630" s="1227"/>
      <c r="AC3630" s="1227"/>
      <c r="AD3630" s="1227"/>
      <c r="AE3630" s="1227"/>
    </row>
    <row r="3631" spans="28:31">
      <c r="AB3631" s="1227"/>
      <c r="AC3631" s="1227"/>
      <c r="AD3631" s="1227"/>
      <c r="AE3631" s="1227"/>
    </row>
    <row r="3632" spans="28:31">
      <c r="AB3632" s="1227"/>
      <c r="AC3632" s="1227"/>
      <c r="AD3632" s="1227"/>
      <c r="AE3632" s="1227"/>
    </row>
    <row r="3633" spans="28:31">
      <c r="AB3633" s="1227"/>
      <c r="AC3633" s="1227"/>
      <c r="AD3633" s="1227"/>
      <c r="AE3633" s="1227"/>
    </row>
    <row r="3634" spans="28:31">
      <c r="AB3634" s="1227"/>
      <c r="AC3634" s="1227"/>
      <c r="AD3634" s="1227"/>
      <c r="AE3634" s="1227"/>
    </row>
    <row r="3635" spans="28:31">
      <c r="AB3635" s="1227"/>
      <c r="AC3635" s="1227"/>
      <c r="AD3635" s="1227"/>
      <c r="AE3635" s="1227"/>
    </row>
    <row r="3636" spans="28:31">
      <c r="AB3636" s="1227"/>
      <c r="AC3636" s="1227"/>
      <c r="AD3636" s="1227"/>
      <c r="AE3636" s="1227"/>
    </row>
    <row r="3637" spans="28:31">
      <c r="AB3637" s="1227"/>
      <c r="AC3637" s="1227"/>
      <c r="AD3637" s="1227"/>
      <c r="AE3637" s="1227"/>
    </row>
    <row r="3638" spans="28:31">
      <c r="AB3638" s="1227"/>
      <c r="AC3638" s="1227"/>
      <c r="AD3638" s="1227"/>
      <c r="AE3638" s="1227"/>
    </row>
    <row r="3639" spans="28:31">
      <c r="AB3639" s="1227"/>
      <c r="AC3639" s="1227"/>
      <c r="AD3639" s="1227"/>
      <c r="AE3639" s="1227"/>
    </row>
    <row r="3640" spans="28:31">
      <c r="AB3640" s="1227"/>
      <c r="AC3640" s="1227"/>
      <c r="AD3640" s="1227"/>
      <c r="AE3640" s="1227"/>
    </row>
    <row r="3641" spans="28:31">
      <c r="AB3641" s="1227"/>
      <c r="AC3641" s="1227"/>
      <c r="AD3641" s="1227"/>
      <c r="AE3641" s="1227"/>
    </row>
    <row r="3642" spans="28:31">
      <c r="AB3642" s="1227"/>
      <c r="AC3642" s="1227"/>
      <c r="AD3642" s="1227"/>
      <c r="AE3642" s="1227"/>
    </row>
    <row r="3643" spans="28:31">
      <c r="AB3643" s="1227"/>
      <c r="AC3643" s="1227"/>
      <c r="AD3643" s="1227"/>
      <c r="AE3643" s="1227"/>
    </row>
    <row r="3644" spans="28:31">
      <c r="AB3644" s="1227"/>
      <c r="AC3644" s="1227"/>
      <c r="AD3644" s="1227"/>
      <c r="AE3644" s="1227"/>
    </row>
    <row r="3645" spans="28:31">
      <c r="AB3645" s="1227"/>
      <c r="AC3645" s="1227"/>
      <c r="AD3645" s="1227"/>
      <c r="AE3645" s="1227"/>
    </row>
    <row r="3646" spans="28:31">
      <c r="AB3646" s="1227"/>
      <c r="AC3646" s="1227"/>
      <c r="AD3646" s="1227"/>
      <c r="AE3646" s="1227"/>
    </row>
    <row r="3647" spans="28:31">
      <c r="AB3647" s="1227"/>
      <c r="AC3647" s="1227"/>
      <c r="AD3647" s="1227"/>
      <c r="AE3647" s="1227"/>
    </row>
    <row r="3648" spans="28:31">
      <c r="AB3648" s="1227"/>
      <c r="AC3648" s="1227"/>
      <c r="AD3648" s="1227"/>
      <c r="AE3648" s="1227"/>
    </row>
    <row r="3649" spans="28:31">
      <c r="AB3649" s="1227"/>
      <c r="AC3649" s="1227"/>
      <c r="AD3649" s="1227"/>
      <c r="AE3649" s="1227"/>
    </row>
    <row r="3650" spans="28:31">
      <c r="AB3650" s="1227"/>
      <c r="AC3650" s="1227"/>
      <c r="AD3650" s="1227"/>
      <c r="AE3650" s="1227"/>
    </row>
    <row r="3651" spans="28:31">
      <c r="AB3651" s="1227"/>
      <c r="AC3651" s="1227"/>
      <c r="AD3651" s="1227"/>
      <c r="AE3651" s="1227"/>
    </row>
    <row r="3652" spans="28:31">
      <c r="AB3652" s="1227"/>
      <c r="AC3652" s="1227"/>
      <c r="AD3652" s="1227"/>
      <c r="AE3652" s="1227"/>
    </row>
    <row r="3653" spans="28:31">
      <c r="AB3653" s="1227"/>
      <c r="AC3653" s="1227"/>
      <c r="AD3653" s="1227"/>
      <c r="AE3653" s="1227"/>
    </row>
    <row r="3654" spans="28:31">
      <c r="AB3654" s="1227"/>
      <c r="AC3654" s="1227"/>
      <c r="AD3654" s="1227"/>
      <c r="AE3654" s="1227"/>
    </row>
    <row r="3655" spans="28:31">
      <c r="AB3655" s="1227"/>
      <c r="AC3655" s="1227"/>
      <c r="AD3655" s="1227"/>
      <c r="AE3655" s="1227"/>
    </row>
    <row r="3656" spans="28:31">
      <c r="AB3656" s="1227"/>
      <c r="AC3656" s="1227"/>
      <c r="AD3656" s="1227"/>
      <c r="AE3656" s="1227"/>
    </row>
    <row r="3657" spans="28:31">
      <c r="AB3657" s="1227"/>
      <c r="AC3657" s="1227"/>
      <c r="AD3657" s="1227"/>
      <c r="AE3657" s="1227"/>
    </row>
    <row r="3658" spans="28:31">
      <c r="AB3658" s="1227"/>
      <c r="AC3658" s="1227"/>
      <c r="AD3658" s="1227"/>
      <c r="AE3658" s="1227"/>
    </row>
    <row r="3659" spans="28:31">
      <c r="AB3659" s="1227"/>
      <c r="AC3659" s="1227"/>
      <c r="AD3659" s="1227"/>
      <c r="AE3659" s="1227"/>
    </row>
    <row r="3660" spans="28:31">
      <c r="AB3660" s="1227"/>
      <c r="AC3660" s="1227"/>
      <c r="AD3660" s="1227"/>
      <c r="AE3660" s="1227"/>
    </row>
    <row r="3661" spans="28:31">
      <c r="AB3661" s="1227"/>
      <c r="AC3661" s="1227"/>
      <c r="AD3661" s="1227"/>
      <c r="AE3661" s="1227"/>
    </row>
    <row r="3662" spans="28:31">
      <c r="AB3662" s="1227"/>
      <c r="AC3662" s="1227"/>
      <c r="AD3662" s="1227"/>
      <c r="AE3662" s="1227"/>
    </row>
    <row r="3663" spans="28:31">
      <c r="AB3663" s="1227"/>
      <c r="AC3663" s="1227"/>
      <c r="AD3663" s="1227"/>
      <c r="AE3663" s="1227"/>
    </row>
    <row r="3664" spans="28:31">
      <c r="AB3664" s="1227"/>
      <c r="AC3664" s="1227"/>
      <c r="AD3664" s="1227"/>
      <c r="AE3664" s="1227"/>
    </row>
    <row r="3665" spans="28:31">
      <c r="AB3665" s="1227"/>
      <c r="AC3665" s="1227"/>
      <c r="AD3665" s="1227"/>
      <c r="AE3665" s="1227"/>
    </row>
    <row r="3666" spans="28:31">
      <c r="AB3666" s="1227"/>
      <c r="AC3666" s="1227"/>
      <c r="AD3666" s="1227"/>
      <c r="AE3666" s="1227"/>
    </row>
    <row r="3667" spans="28:31">
      <c r="AB3667" s="1227"/>
      <c r="AC3667" s="1227"/>
      <c r="AD3667" s="1227"/>
      <c r="AE3667" s="1227"/>
    </row>
    <row r="3668" spans="28:31">
      <c r="AB3668" s="1227"/>
      <c r="AC3668" s="1227"/>
      <c r="AD3668" s="1227"/>
      <c r="AE3668" s="1227"/>
    </row>
    <row r="3669" spans="28:31">
      <c r="AB3669" s="1227"/>
      <c r="AC3669" s="1227"/>
      <c r="AD3669" s="1227"/>
      <c r="AE3669" s="1227"/>
    </row>
    <row r="3670" spans="28:31">
      <c r="AB3670" s="1227"/>
      <c r="AC3670" s="1227"/>
      <c r="AD3670" s="1227"/>
      <c r="AE3670" s="1227"/>
    </row>
    <row r="3671" spans="28:31">
      <c r="AB3671" s="1227"/>
      <c r="AC3671" s="1227"/>
      <c r="AD3671" s="1227"/>
      <c r="AE3671" s="1227"/>
    </row>
    <row r="3672" spans="28:31">
      <c r="AB3672" s="1227"/>
      <c r="AC3672" s="1227"/>
      <c r="AD3672" s="1227"/>
      <c r="AE3672" s="1227"/>
    </row>
    <row r="3673" spans="28:31">
      <c r="AB3673" s="1227"/>
      <c r="AC3673" s="1227"/>
      <c r="AD3673" s="1227"/>
      <c r="AE3673" s="1227"/>
    </row>
    <row r="3674" spans="28:31">
      <c r="AB3674" s="1227"/>
      <c r="AC3674" s="1227"/>
      <c r="AD3674" s="1227"/>
      <c r="AE3674" s="1227"/>
    </row>
    <row r="3675" spans="28:31">
      <c r="AB3675" s="1227"/>
      <c r="AC3675" s="1227"/>
      <c r="AD3675" s="1227"/>
      <c r="AE3675" s="1227"/>
    </row>
    <row r="3676" spans="28:31">
      <c r="AB3676" s="1227"/>
      <c r="AC3676" s="1227"/>
      <c r="AD3676" s="1227"/>
      <c r="AE3676" s="1227"/>
    </row>
    <row r="3677" spans="28:31">
      <c r="AB3677" s="1227"/>
      <c r="AC3677" s="1227"/>
      <c r="AD3677" s="1227"/>
      <c r="AE3677" s="1227"/>
    </row>
    <row r="3678" spans="28:31">
      <c r="AB3678" s="1227"/>
      <c r="AC3678" s="1227"/>
      <c r="AD3678" s="1227"/>
      <c r="AE3678" s="1227"/>
    </row>
    <row r="3679" spans="28:31">
      <c r="AB3679" s="1227"/>
      <c r="AC3679" s="1227"/>
      <c r="AD3679" s="1227"/>
      <c r="AE3679" s="1227"/>
    </row>
    <row r="3680" spans="28:31">
      <c r="AB3680" s="1227"/>
      <c r="AC3680" s="1227"/>
      <c r="AD3680" s="1227"/>
      <c r="AE3680" s="1227"/>
    </row>
    <row r="3681" spans="28:31">
      <c r="AB3681" s="1227"/>
      <c r="AC3681" s="1227"/>
      <c r="AD3681" s="1227"/>
      <c r="AE3681" s="1227"/>
    </row>
    <row r="3682" spans="28:31">
      <c r="AB3682" s="1227"/>
      <c r="AC3682" s="1227"/>
      <c r="AD3682" s="1227"/>
      <c r="AE3682" s="1227"/>
    </row>
    <row r="3683" spans="28:31">
      <c r="AB3683" s="1227"/>
      <c r="AC3683" s="1227"/>
      <c r="AD3683" s="1227"/>
      <c r="AE3683" s="1227"/>
    </row>
    <row r="3684" spans="28:31">
      <c r="AB3684" s="1227"/>
      <c r="AC3684" s="1227"/>
      <c r="AD3684" s="1227"/>
      <c r="AE3684" s="1227"/>
    </row>
    <row r="3685" spans="28:31">
      <c r="AB3685" s="1227"/>
      <c r="AC3685" s="1227"/>
      <c r="AD3685" s="1227"/>
      <c r="AE3685" s="1227"/>
    </row>
    <row r="3686" spans="28:31">
      <c r="AB3686" s="1227"/>
      <c r="AC3686" s="1227"/>
      <c r="AD3686" s="1227"/>
      <c r="AE3686" s="1227"/>
    </row>
    <row r="3687" spans="28:31">
      <c r="AB3687" s="1227"/>
      <c r="AC3687" s="1227"/>
      <c r="AD3687" s="1227"/>
      <c r="AE3687" s="1227"/>
    </row>
    <row r="3688" spans="28:31">
      <c r="AB3688" s="1227"/>
      <c r="AC3688" s="1227"/>
      <c r="AD3688" s="1227"/>
      <c r="AE3688" s="1227"/>
    </row>
    <row r="3689" spans="28:31">
      <c r="AB3689" s="1227"/>
      <c r="AC3689" s="1227"/>
      <c r="AD3689" s="1227"/>
      <c r="AE3689" s="1227"/>
    </row>
    <row r="3690" spans="28:31">
      <c r="AB3690" s="1227"/>
      <c r="AC3690" s="1227"/>
      <c r="AD3690" s="1227"/>
      <c r="AE3690" s="1227"/>
    </row>
    <row r="3691" spans="28:31">
      <c r="AB3691" s="1227"/>
      <c r="AC3691" s="1227"/>
      <c r="AD3691" s="1227"/>
      <c r="AE3691" s="1227"/>
    </row>
    <row r="3692" spans="28:31">
      <c r="AB3692" s="1227"/>
      <c r="AC3692" s="1227"/>
      <c r="AD3692" s="1227"/>
      <c r="AE3692" s="1227"/>
    </row>
    <row r="3693" spans="28:31">
      <c r="AB3693" s="1227"/>
      <c r="AC3693" s="1227"/>
      <c r="AD3693" s="1227"/>
      <c r="AE3693" s="1227"/>
    </row>
    <row r="3694" spans="28:31">
      <c r="AB3694" s="1227"/>
      <c r="AC3694" s="1227"/>
      <c r="AD3694" s="1227"/>
      <c r="AE3694" s="1227"/>
    </row>
    <row r="3695" spans="28:31">
      <c r="AB3695" s="1227"/>
      <c r="AC3695" s="1227"/>
      <c r="AD3695" s="1227"/>
      <c r="AE3695" s="1227"/>
    </row>
    <row r="3696" spans="28:31">
      <c r="AB3696" s="1227"/>
      <c r="AC3696" s="1227"/>
      <c r="AD3696" s="1227"/>
      <c r="AE3696" s="1227"/>
    </row>
    <row r="3697" spans="28:31">
      <c r="AB3697" s="1227"/>
      <c r="AC3697" s="1227"/>
      <c r="AD3697" s="1227"/>
      <c r="AE3697" s="1227"/>
    </row>
    <row r="3698" spans="28:31">
      <c r="AB3698" s="1227"/>
      <c r="AC3698" s="1227"/>
      <c r="AD3698" s="1227"/>
      <c r="AE3698" s="1227"/>
    </row>
    <row r="3699" spans="28:31">
      <c r="AB3699" s="1227"/>
      <c r="AC3699" s="1227"/>
      <c r="AD3699" s="1227"/>
      <c r="AE3699" s="1227"/>
    </row>
    <row r="3700" spans="28:31">
      <c r="AB3700" s="1227"/>
      <c r="AC3700" s="1227"/>
      <c r="AD3700" s="1227"/>
      <c r="AE3700" s="1227"/>
    </row>
    <row r="3701" spans="28:31">
      <c r="AB3701" s="1227"/>
      <c r="AC3701" s="1227"/>
      <c r="AD3701" s="1227"/>
      <c r="AE3701" s="1227"/>
    </row>
    <row r="3702" spans="28:31">
      <c r="AB3702" s="1227"/>
      <c r="AC3702" s="1227"/>
      <c r="AD3702" s="1227"/>
      <c r="AE3702" s="1227"/>
    </row>
    <row r="3703" spans="28:31">
      <c r="AB3703" s="1227"/>
      <c r="AC3703" s="1227"/>
      <c r="AD3703" s="1227"/>
      <c r="AE3703" s="1227"/>
    </row>
    <row r="3704" spans="28:31">
      <c r="AB3704" s="1227"/>
      <c r="AC3704" s="1227"/>
      <c r="AD3704" s="1227"/>
      <c r="AE3704" s="1227"/>
    </row>
    <row r="3705" spans="28:31">
      <c r="AB3705" s="1227"/>
      <c r="AC3705" s="1227"/>
      <c r="AD3705" s="1227"/>
      <c r="AE3705" s="1227"/>
    </row>
    <row r="3706" spans="28:31">
      <c r="AB3706" s="1227"/>
      <c r="AC3706" s="1227"/>
      <c r="AD3706" s="1227"/>
      <c r="AE3706" s="1227"/>
    </row>
    <row r="3707" spans="28:31">
      <c r="AB3707" s="1227"/>
      <c r="AC3707" s="1227"/>
      <c r="AD3707" s="1227"/>
      <c r="AE3707" s="1227"/>
    </row>
    <row r="3708" spans="28:31">
      <c r="AB3708" s="1227"/>
      <c r="AC3708" s="1227"/>
      <c r="AD3708" s="1227"/>
      <c r="AE3708" s="1227"/>
    </row>
    <row r="3709" spans="28:31">
      <c r="AB3709" s="1227"/>
      <c r="AC3709" s="1227"/>
      <c r="AD3709" s="1227"/>
      <c r="AE3709" s="1227"/>
    </row>
    <row r="3710" spans="28:31">
      <c r="AB3710" s="1227"/>
      <c r="AC3710" s="1227"/>
      <c r="AD3710" s="1227"/>
      <c r="AE3710" s="1227"/>
    </row>
    <row r="3711" spans="28:31">
      <c r="AB3711" s="1227"/>
      <c r="AC3711" s="1227"/>
      <c r="AD3711" s="1227"/>
      <c r="AE3711" s="1227"/>
    </row>
    <row r="3712" spans="28:31">
      <c r="AB3712" s="1227"/>
      <c r="AC3712" s="1227"/>
      <c r="AD3712" s="1227"/>
      <c r="AE3712" s="1227"/>
    </row>
    <row r="3713" spans="28:31">
      <c r="AB3713" s="1227"/>
      <c r="AC3713" s="1227"/>
      <c r="AD3713" s="1227"/>
      <c r="AE3713" s="1227"/>
    </row>
    <row r="3714" spans="28:31">
      <c r="AB3714" s="1227"/>
      <c r="AC3714" s="1227"/>
      <c r="AD3714" s="1227"/>
      <c r="AE3714" s="1227"/>
    </row>
    <row r="3715" spans="28:31">
      <c r="AB3715" s="1227"/>
      <c r="AC3715" s="1227"/>
      <c r="AD3715" s="1227"/>
      <c r="AE3715" s="1227"/>
    </row>
    <row r="3716" spans="28:31">
      <c r="AB3716" s="1227"/>
      <c r="AC3716" s="1227"/>
      <c r="AD3716" s="1227"/>
      <c r="AE3716" s="1227"/>
    </row>
    <row r="3717" spans="28:31">
      <c r="AB3717" s="1227"/>
      <c r="AC3717" s="1227"/>
      <c r="AD3717" s="1227"/>
      <c r="AE3717" s="1227"/>
    </row>
    <row r="3718" spans="28:31">
      <c r="AB3718" s="1227"/>
      <c r="AC3718" s="1227"/>
      <c r="AD3718" s="1227"/>
      <c r="AE3718" s="1227"/>
    </row>
    <row r="3719" spans="28:31">
      <c r="AB3719" s="1227"/>
      <c r="AC3719" s="1227"/>
      <c r="AD3719" s="1227"/>
      <c r="AE3719" s="1227"/>
    </row>
    <row r="3720" spans="28:31">
      <c r="AB3720" s="1227"/>
      <c r="AC3720" s="1227"/>
      <c r="AD3720" s="1227"/>
      <c r="AE3720" s="1227"/>
    </row>
    <row r="3721" spans="28:31">
      <c r="AB3721" s="1227"/>
      <c r="AC3721" s="1227"/>
      <c r="AD3721" s="1227"/>
      <c r="AE3721" s="1227"/>
    </row>
    <row r="3722" spans="28:31">
      <c r="AB3722" s="1227"/>
      <c r="AC3722" s="1227"/>
      <c r="AD3722" s="1227"/>
      <c r="AE3722" s="1227"/>
    </row>
    <row r="3723" spans="28:31">
      <c r="AB3723" s="1227"/>
      <c r="AC3723" s="1227"/>
      <c r="AD3723" s="1227"/>
      <c r="AE3723" s="1227"/>
    </row>
    <row r="3724" spans="28:31">
      <c r="AB3724" s="1227"/>
      <c r="AC3724" s="1227"/>
      <c r="AD3724" s="1227"/>
      <c r="AE3724" s="1227"/>
    </row>
    <row r="3725" spans="28:31">
      <c r="AB3725" s="1227"/>
      <c r="AC3725" s="1227"/>
      <c r="AD3725" s="1227"/>
      <c r="AE3725" s="1227"/>
    </row>
    <row r="3726" spans="28:31">
      <c r="AB3726" s="1227"/>
      <c r="AC3726" s="1227"/>
      <c r="AD3726" s="1227"/>
      <c r="AE3726" s="1227"/>
    </row>
    <row r="3727" spans="28:31">
      <c r="AB3727" s="1227"/>
      <c r="AC3727" s="1227"/>
      <c r="AD3727" s="1227"/>
      <c r="AE3727" s="1227"/>
    </row>
    <row r="3728" spans="28:31">
      <c r="AB3728" s="1227"/>
      <c r="AC3728" s="1227"/>
      <c r="AD3728" s="1227"/>
      <c r="AE3728" s="1227"/>
    </row>
    <row r="3729" spans="28:31">
      <c r="AB3729" s="1227"/>
      <c r="AC3729" s="1227"/>
      <c r="AD3729" s="1227"/>
      <c r="AE3729" s="1227"/>
    </row>
    <row r="3730" spans="28:31">
      <c r="AB3730" s="1227"/>
      <c r="AC3730" s="1227"/>
      <c r="AD3730" s="1227"/>
      <c r="AE3730" s="1227"/>
    </row>
    <row r="3731" spans="28:31">
      <c r="AB3731" s="1227"/>
      <c r="AC3731" s="1227"/>
      <c r="AD3731" s="1227"/>
      <c r="AE3731" s="1227"/>
    </row>
    <row r="3732" spans="28:31">
      <c r="AB3732" s="1227"/>
      <c r="AC3732" s="1227"/>
      <c r="AD3732" s="1227"/>
      <c r="AE3732" s="1227"/>
    </row>
    <row r="3733" spans="28:31">
      <c r="AB3733" s="1227"/>
      <c r="AC3733" s="1227"/>
      <c r="AD3733" s="1227"/>
      <c r="AE3733" s="1227"/>
    </row>
    <row r="3734" spans="28:31">
      <c r="AB3734" s="1227"/>
      <c r="AC3734" s="1227"/>
      <c r="AD3734" s="1227"/>
      <c r="AE3734" s="1227"/>
    </row>
    <row r="3735" spans="28:31">
      <c r="AB3735" s="1227"/>
      <c r="AC3735" s="1227"/>
      <c r="AD3735" s="1227"/>
      <c r="AE3735" s="1227"/>
    </row>
    <row r="3736" spans="28:31">
      <c r="AB3736" s="1227"/>
      <c r="AC3736" s="1227"/>
      <c r="AD3736" s="1227"/>
      <c r="AE3736" s="1227"/>
    </row>
    <row r="3737" spans="28:31">
      <c r="AB3737" s="1227"/>
      <c r="AC3737" s="1227"/>
      <c r="AD3737" s="1227"/>
      <c r="AE3737" s="1227"/>
    </row>
    <row r="3738" spans="28:31">
      <c r="AB3738" s="1227"/>
      <c r="AC3738" s="1227"/>
      <c r="AD3738" s="1227"/>
      <c r="AE3738" s="1227"/>
    </row>
    <row r="3739" spans="28:31">
      <c r="AB3739" s="1227"/>
      <c r="AC3739" s="1227"/>
      <c r="AD3739" s="1227"/>
      <c r="AE3739" s="1227"/>
    </row>
    <row r="3740" spans="28:31">
      <c r="AB3740" s="1227"/>
      <c r="AC3740" s="1227"/>
      <c r="AD3740" s="1227"/>
      <c r="AE3740" s="1227"/>
    </row>
    <row r="3741" spans="28:31">
      <c r="AB3741" s="1227"/>
      <c r="AC3741" s="1227"/>
      <c r="AD3741" s="1227"/>
      <c r="AE3741" s="1227"/>
    </row>
    <row r="3742" spans="28:31">
      <c r="AB3742" s="1227"/>
      <c r="AC3742" s="1227"/>
      <c r="AD3742" s="1227"/>
      <c r="AE3742" s="1227"/>
    </row>
    <row r="3743" spans="28:31">
      <c r="AB3743" s="1227"/>
      <c r="AC3743" s="1227"/>
      <c r="AD3743" s="1227"/>
      <c r="AE3743" s="1227"/>
    </row>
    <row r="3744" spans="28:31">
      <c r="AB3744" s="1227"/>
      <c r="AC3744" s="1227"/>
      <c r="AD3744" s="1227"/>
      <c r="AE3744" s="1227"/>
    </row>
    <row r="3745" spans="28:31">
      <c r="AB3745" s="1227"/>
      <c r="AC3745" s="1227"/>
      <c r="AD3745" s="1227"/>
      <c r="AE3745" s="1227"/>
    </row>
    <row r="3746" spans="28:31">
      <c r="AB3746" s="1227"/>
      <c r="AC3746" s="1227"/>
      <c r="AD3746" s="1227"/>
      <c r="AE3746" s="1227"/>
    </row>
    <row r="3747" spans="28:31">
      <c r="AB3747" s="1227"/>
      <c r="AC3747" s="1227"/>
      <c r="AD3747" s="1227"/>
      <c r="AE3747" s="1227"/>
    </row>
    <row r="3748" spans="28:31">
      <c r="AB3748" s="1227"/>
      <c r="AC3748" s="1227"/>
      <c r="AD3748" s="1227"/>
      <c r="AE3748" s="1227"/>
    </row>
    <row r="3749" spans="28:31">
      <c r="AB3749" s="1227"/>
      <c r="AC3749" s="1227"/>
      <c r="AD3749" s="1227"/>
      <c r="AE3749" s="1227"/>
    </row>
    <row r="3750" spans="28:31">
      <c r="AB3750" s="1227"/>
      <c r="AC3750" s="1227"/>
      <c r="AD3750" s="1227"/>
      <c r="AE3750" s="1227"/>
    </row>
    <row r="3751" spans="28:31">
      <c r="AB3751" s="1227"/>
      <c r="AC3751" s="1227"/>
      <c r="AD3751" s="1227"/>
      <c r="AE3751" s="1227"/>
    </row>
    <row r="3752" spans="28:31">
      <c r="AB3752" s="1227"/>
      <c r="AC3752" s="1227"/>
      <c r="AD3752" s="1227"/>
      <c r="AE3752" s="1227"/>
    </row>
    <row r="3753" spans="28:31">
      <c r="AB3753" s="1227"/>
      <c r="AC3753" s="1227"/>
      <c r="AD3753" s="1227"/>
      <c r="AE3753" s="1227"/>
    </row>
    <row r="3754" spans="28:31">
      <c r="AB3754" s="1227"/>
      <c r="AC3754" s="1227"/>
      <c r="AD3754" s="1227"/>
      <c r="AE3754" s="1227"/>
    </row>
    <row r="3755" spans="28:31">
      <c r="AB3755" s="1227"/>
      <c r="AC3755" s="1227"/>
      <c r="AD3755" s="1227"/>
      <c r="AE3755" s="1227"/>
    </row>
    <row r="3756" spans="28:31">
      <c r="AB3756" s="1227"/>
      <c r="AC3756" s="1227"/>
      <c r="AD3756" s="1227"/>
      <c r="AE3756" s="1227"/>
    </row>
    <row r="3757" spans="28:31">
      <c r="AB3757" s="1227"/>
      <c r="AC3757" s="1227"/>
      <c r="AD3757" s="1227"/>
      <c r="AE3757" s="1227"/>
    </row>
    <row r="3758" spans="28:31">
      <c r="AB3758" s="1227"/>
      <c r="AC3758" s="1227"/>
      <c r="AD3758" s="1227"/>
      <c r="AE3758" s="1227"/>
    </row>
    <row r="3759" spans="28:31">
      <c r="AB3759" s="1227"/>
      <c r="AC3759" s="1227"/>
      <c r="AD3759" s="1227"/>
      <c r="AE3759" s="1227"/>
    </row>
    <row r="3760" spans="28:31">
      <c r="AB3760" s="1227"/>
      <c r="AC3760" s="1227"/>
      <c r="AD3760" s="1227"/>
      <c r="AE3760" s="1227"/>
    </row>
    <row r="3761" spans="28:31">
      <c r="AB3761" s="1227"/>
      <c r="AC3761" s="1227"/>
      <c r="AD3761" s="1227"/>
      <c r="AE3761" s="1227"/>
    </row>
    <row r="3762" spans="28:31">
      <c r="AB3762" s="1227"/>
      <c r="AC3762" s="1227"/>
      <c r="AD3762" s="1227"/>
      <c r="AE3762" s="1227"/>
    </row>
    <row r="3763" spans="28:31">
      <c r="AB3763" s="1227"/>
      <c r="AC3763" s="1227"/>
      <c r="AD3763" s="1227"/>
      <c r="AE3763" s="1227"/>
    </row>
    <row r="3764" spans="28:31">
      <c r="AB3764" s="1227"/>
      <c r="AC3764" s="1227"/>
      <c r="AD3764" s="1227"/>
      <c r="AE3764" s="1227"/>
    </row>
    <row r="3765" spans="28:31">
      <c r="AB3765" s="1227"/>
      <c r="AC3765" s="1227"/>
      <c r="AD3765" s="1227"/>
      <c r="AE3765" s="1227"/>
    </row>
    <row r="3766" spans="28:31">
      <c r="AB3766" s="1227"/>
      <c r="AC3766" s="1227"/>
      <c r="AD3766" s="1227"/>
      <c r="AE3766" s="1227"/>
    </row>
    <row r="3767" spans="28:31">
      <c r="AB3767" s="1227"/>
      <c r="AC3767" s="1227"/>
      <c r="AD3767" s="1227"/>
      <c r="AE3767" s="1227"/>
    </row>
    <row r="3768" spans="28:31">
      <c r="AB3768" s="1227"/>
      <c r="AC3768" s="1227"/>
      <c r="AD3768" s="1227"/>
      <c r="AE3768" s="1227"/>
    </row>
    <row r="3769" spans="28:31">
      <c r="AB3769" s="1227"/>
      <c r="AC3769" s="1227"/>
      <c r="AD3769" s="1227"/>
      <c r="AE3769" s="1227"/>
    </row>
    <row r="3770" spans="28:31">
      <c r="AB3770" s="1227"/>
      <c r="AC3770" s="1227"/>
      <c r="AD3770" s="1227"/>
      <c r="AE3770" s="1227"/>
    </row>
    <row r="3771" spans="28:31">
      <c r="AB3771" s="1227"/>
      <c r="AC3771" s="1227"/>
      <c r="AD3771" s="1227"/>
      <c r="AE3771" s="1227"/>
    </row>
    <row r="3772" spans="28:31">
      <c r="AB3772" s="1227"/>
      <c r="AC3772" s="1227"/>
      <c r="AD3772" s="1227"/>
      <c r="AE3772" s="1227"/>
    </row>
    <row r="3773" spans="28:31">
      <c r="AB3773" s="1227"/>
      <c r="AC3773" s="1227"/>
      <c r="AD3773" s="1227"/>
      <c r="AE3773" s="1227"/>
    </row>
    <row r="3774" spans="28:31">
      <c r="AB3774" s="1227"/>
      <c r="AC3774" s="1227"/>
      <c r="AD3774" s="1227"/>
      <c r="AE3774" s="1227"/>
    </row>
    <row r="3775" spans="28:31">
      <c r="AB3775" s="1227"/>
      <c r="AC3775" s="1227"/>
      <c r="AD3775" s="1227"/>
      <c r="AE3775" s="1227"/>
    </row>
    <row r="3776" spans="28:31">
      <c r="AB3776" s="1227"/>
      <c r="AC3776" s="1227"/>
      <c r="AD3776" s="1227"/>
      <c r="AE3776" s="1227"/>
    </row>
    <row r="3777" spans="28:31">
      <c r="AB3777" s="1227"/>
      <c r="AC3777" s="1227"/>
      <c r="AD3777" s="1227"/>
      <c r="AE3777" s="1227"/>
    </row>
    <row r="3778" spans="28:31">
      <c r="AB3778" s="1227"/>
      <c r="AC3778" s="1227"/>
      <c r="AD3778" s="1227"/>
      <c r="AE3778" s="1227"/>
    </row>
    <row r="3779" spans="28:31">
      <c r="AB3779" s="1227"/>
      <c r="AC3779" s="1227"/>
      <c r="AD3779" s="1227"/>
      <c r="AE3779" s="1227"/>
    </row>
    <row r="3780" spans="28:31">
      <c r="AB3780" s="1227"/>
      <c r="AC3780" s="1227"/>
      <c r="AD3780" s="1227"/>
      <c r="AE3780" s="1227"/>
    </row>
    <row r="3781" spans="28:31">
      <c r="AB3781" s="1227"/>
      <c r="AC3781" s="1227"/>
      <c r="AD3781" s="1227"/>
      <c r="AE3781" s="1227"/>
    </row>
    <row r="3782" spans="28:31">
      <c r="AB3782" s="1227"/>
      <c r="AC3782" s="1227"/>
      <c r="AD3782" s="1227"/>
      <c r="AE3782" s="1227"/>
    </row>
    <row r="3783" spans="28:31">
      <c r="AB3783" s="1227"/>
      <c r="AC3783" s="1227"/>
      <c r="AD3783" s="1227"/>
      <c r="AE3783" s="1227"/>
    </row>
    <row r="3784" spans="28:31">
      <c r="AB3784" s="1227"/>
      <c r="AC3784" s="1227"/>
      <c r="AD3784" s="1227"/>
      <c r="AE3784" s="1227"/>
    </row>
    <row r="3785" spans="28:31">
      <c r="AB3785" s="1227"/>
      <c r="AC3785" s="1227"/>
      <c r="AD3785" s="1227"/>
      <c r="AE3785" s="1227"/>
    </row>
    <row r="3786" spans="28:31">
      <c r="AB3786" s="1227"/>
      <c r="AC3786" s="1227"/>
      <c r="AD3786" s="1227"/>
      <c r="AE3786" s="1227"/>
    </row>
    <row r="3787" spans="28:31">
      <c r="AB3787" s="1227"/>
      <c r="AC3787" s="1227"/>
      <c r="AD3787" s="1227"/>
      <c r="AE3787" s="1227"/>
    </row>
    <row r="3788" spans="28:31">
      <c r="AB3788" s="1227"/>
      <c r="AC3788" s="1227"/>
      <c r="AD3788" s="1227"/>
      <c r="AE3788" s="1227"/>
    </row>
    <row r="3789" spans="28:31">
      <c r="AB3789" s="1227"/>
      <c r="AC3789" s="1227"/>
      <c r="AD3789" s="1227"/>
      <c r="AE3789" s="1227"/>
    </row>
    <row r="3790" spans="28:31">
      <c r="AB3790" s="1227"/>
      <c r="AC3790" s="1227"/>
      <c r="AD3790" s="1227"/>
      <c r="AE3790" s="1227"/>
    </row>
    <row r="3791" spans="28:31">
      <c r="AB3791" s="1227"/>
      <c r="AC3791" s="1227"/>
      <c r="AD3791" s="1227"/>
      <c r="AE3791" s="1227"/>
    </row>
    <row r="3792" spans="28:31">
      <c r="AB3792" s="1227"/>
      <c r="AC3792" s="1227"/>
      <c r="AD3792" s="1227"/>
      <c r="AE3792" s="1227"/>
    </row>
    <row r="3793" spans="28:31">
      <c r="AB3793" s="1227"/>
      <c r="AC3793" s="1227"/>
      <c r="AD3793" s="1227"/>
      <c r="AE3793" s="1227"/>
    </row>
    <row r="3794" spans="28:31">
      <c r="AB3794" s="1227"/>
      <c r="AC3794" s="1227"/>
      <c r="AD3794" s="1227"/>
      <c r="AE3794" s="1227"/>
    </row>
    <row r="3795" spans="28:31">
      <c r="AB3795" s="1227"/>
      <c r="AC3795" s="1227"/>
      <c r="AD3795" s="1227"/>
      <c r="AE3795" s="1227"/>
    </row>
    <row r="3796" spans="28:31">
      <c r="AB3796" s="1227"/>
      <c r="AC3796" s="1227"/>
      <c r="AD3796" s="1227"/>
      <c r="AE3796" s="1227"/>
    </row>
    <row r="3797" spans="28:31">
      <c r="AB3797" s="1227"/>
      <c r="AC3797" s="1227"/>
      <c r="AD3797" s="1227"/>
      <c r="AE3797" s="1227"/>
    </row>
    <row r="3798" spans="28:31">
      <c r="AB3798" s="1227"/>
      <c r="AC3798" s="1227"/>
      <c r="AD3798" s="1227"/>
      <c r="AE3798" s="1227"/>
    </row>
    <row r="3799" spans="28:31">
      <c r="AB3799" s="1227"/>
      <c r="AC3799" s="1227"/>
      <c r="AD3799" s="1227"/>
      <c r="AE3799" s="1227"/>
    </row>
    <row r="3800" spans="28:31">
      <c r="AB3800" s="1227"/>
      <c r="AC3800" s="1227"/>
      <c r="AD3800" s="1227"/>
      <c r="AE3800" s="1227"/>
    </row>
    <row r="3801" spans="28:31">
      <c r="AB3801" s="1227"/>
      <c r="AC3801" s="1227"/>
      <c r="AD3801" s="1227"/>
      <c r="AE3801" s="1227"/>
    </row>
    <row r="3802" spans="28:31">
      <c r="AB3802" s="1227"/>
      <c r="AC3802" s="1227"/>
      <c r="AD3802" s="1227"/>
      <c r="AE3802" s="1227"/>
    </row>
    <row r="3803" spans="28:31">
      <c r="AB3803" s="1227"/>
      <c r="AC3803" s="1227"/>
      <c r="AD3803" s="1227"/>
      <c r="AE3803" s="1227"/>
    </row>
    <row r="3804" spans="28:31">
      <c r="AB3804" s="1227"/>
      <c r="AC3804" s="1227"/>
      <c r="AD3804" s="1227"/>
      <c r="AE3804" s="1227"/>
    </row>
    <row r="3805" spans="28:31">
      <c r="AB3805" s="1227"/>
      <c r="AC3805" s="1227"/>
      <c r="AD3805" s="1227"/>
      <c r="AE3805" s="1227"/>
    </row>
    <row r="3806" spans="28:31">
      <c r="AB3806" s="1227"/>
      <c r="AC3806" s="1227"/>
      <c r="AD3806" s="1227"/>
      <c r="AE3806" s="1227"/>
    </row>
    <row r="3807" spans="28:31">
      <c r="AB3807" s="1227"/>
      <c r="AC3807" s="1227"/>
      <c r="AD3807" s="1227"/>
      <c r="AE3807" s="1227"/>
    </row>
    <row r="3808" spans="28:31">
      <c r="AB3808" s="1227"/>
      <c r="AC3808" s="1227"/>
      <c r="AD3808" s="1227"/>
      <c r="AE3808" s="1227"/>
    </row>
    <row r="3809" spans="28:31">
      <c r="AB3809" s="1227"/>
      <c r="AC3809" s="1227"/>
      <c r="AD3809" s="1227"/>
      <c r="AE3809" s="1227"/>
    </row>
    <row r="3810" spans="28:31">
      <c r="AB3810" s="1227"/>
      <c r="AC3810" s="1227"/>
      <c r="AD3810" s="1227"/>
      <c r="AE3810" s="1227"/>
    </row>
    <row r="3811" spans="28:31">
      <c r="AB3811" s="1227"/>
      <c r="AC3811" s="1227"/>
      <c r="AD3811" s="1227"/>
      <c r="AE3811" s="1227"/>
    </row>
    <row r="3812" spans="28:31">
      <c r="AB3812" s="1227"/>
      <c r="AC3812" s="1227"/>
      <c r="AD3812" s="1227"/>
      <c r="AE3812" s="1227"/>
    </row>
    <row r="3813" spans="28:31">
      <c r="AB3813" s="1227"/>
      <c r="AC3813" s="1227"/>
      <c r="AD3813" s="1227"/>
      <c r="AE3813" s="1227"/>
    </row>
    <row r="3814" spans="28:31">
      <c r="AB3814" s="1227"/>
      <c r="AC3814" s="1227"/>
      <c r="AD3814" s="1227"/>
      <c r="AE3814" s="1227"/>
    </row>
    <row r="3815" spans="28:31">
      <c r="AB3815" s="1227"/>
      <c r="AC3815" s="1227"/>
      <c r="AD3815" s="1227"/>
      <c r="AE3815" s="1227"/>
    </row>
    <row r="3816" spans="28:31">
      <c r="AB3816" s="1227"/>
      <c r="AC3816" s="1227"/>
      <c r="AD3816" s="1227"/>
      <c r="AE3816" s="1227"/>
    </row>
    <row r="3817" spans="28:31">
      <c r="AB3817" s="1227"/>
      <c r="AC3817" s="1227"/>
      <c r="AD3817" s="1227"/>
      <c r="AE3817" s="1227"/>
    </row>
    <row r="3818" spans="28:31">
      <c r="AB3818" s="1227"/>
      <c r="AC3818" s="1227"/>
      <c r="AD3818" s="1227"/>
      <c r="AE3818" s="1227"/>
    </row>
    <row r="3819" spans="28:31">
      <c r="AB3819" s="1227"/>
      <c r="AC3819" s="1227"/>
      <c r="AD3819" s="1227"/>
      <c r="AE3819" s="1227"/>
    </row>
    <row r="3820" spans="28:31">
      <c r="AB3820" s="1227"/>
      <c r="AC3820" s="1227"/>
      <c r="AD3820" s="1227"/>
      <c r="AE3820" s="1227"/>
    </row>
    <row r="3821" spans="28:31">
      <c r="AB3821" s="1227"/>
      <c r="AC3821" s="1227"/>
      <c r="AD3821" s="1227"/>
      <c r="AE3821" s="1227"/>
    </row>
    <row r="3822" spans="28:31">
      <c r="AB3822" s="1227"/>
      <c r="AC3822" s="1227"/>
      <c r="AD3822" s="1227"/>
      <c r="AE3822" s="1227"/>
    </row>
    <row r="3823" spans="28:31">
      <c r="AB3823" s="1227"/>
      <c r="AC3823" s="1227"/>
      <c r="AD3823" s="1227"/>
      <c r="AE3823" s="1227"/>
    </row>
    <row r="3824" spans="28:31">
      <c r="AB3824" s="1227"/>
      <c r="AC3824" s="1227"/>
      <c r="AD3824" s="1227"/>
      <c r="AE3824" s="1227"/>
    </row>
    <row r="3825" spans="28:31">
      <c r="AB3825" s="1227"/>
      <c r="AC3825" s="1227"/>
      <c r="AD3825" s="1227"/>
      <c r="AE3825" s="1227"/>
    </row>
    <row r="3826" spans="28:31">
      <c r="AB3826" s="1227"/>
      <c r="AC3826" s="1227"/>
      <c r="AD3826" s="1227"/>
      <c r="AE3826" s="1227"/>
    </row>
    <row r="3827" spans="28:31">
      <c r="AB3827" s="1227"/>
      <c r="AC3827" s="1227"/>
      <c r="AD3827" s="1227"/>
      <c r="AE3827" s="1227"/>
    </row>
    <row r="3828" spans="28:31">
      <c r="AB3828" s="1227"/>
      <c r="AC3828" s="1227"/>
      <c r="AD3828" s="1227"/>
      <c r="AE3828" s="1227"/>
    </row>
    <row r="3829" spans="28:31">
      <c r="AB3829" s="1227"/>
      <c r="AC3829" s="1227"/>
      <c r="AD3829" s="1227"/>
      <c r="AE3829" s="1227"/>
    </row>
    <row r="3830" spans="28:31">
      <c r="AB3830" s="1227"/>
      <c r="AC3830" s="1227"/>
      <c r="AD3830" s="1227"/>
      <c r="AE3830" s="1227"/>
    </row>
    <row r="3831" spans="28:31">
      <c r="AB3831" s="1227"/>
      <c r="AC3831" s="1227"/>
      <c r="AD3831" s="1227"/>
      <c r="AE3831" s="1227"/>
    </row>
    <row r="3832" spans="28:31">
      <c r="AB3832" s="1227"/>
      <c r="AC3832" s="1227"/>
      <c r="AD3832" s="1227"/>
      <c r="AE3832" s="1227"/>
    </row>
    <row r="3833" spans="28:31">
      <c r="AB3833" s="1227"/>
      <c r="AC3833" s="1227"/>
      <c r="AD3833" s="1227"/>
      <c r="AE3833" s="1227"/>
    </row>
    <row r="3834" spans="28:31">
      <c r="AB3834" s="1227"/>
      <c r="AC3834" s="1227"/>
      <c r="AD3834" s="1227"/>
      <c r="AE3834" s="1227"/>
    </row>
    <row r="3835" spans="28:31">
      <c r="AB3835" s="1227"/>
      <c r="AC3835" s="1227"/>
      <c r="AD3835" s="1227"/>
      <c r="AE3835" s="1227"/>
    </row>
    <row r="3836" spans="28:31">
      <c r="AB3836" s="1227"/>
      <c r="AC3836" s="1227"/>
      <c r="AD3836" s="1227"/>
      <c r="AE3836" s="1227"/>
    </row>
    <row r="3837" spans="28:31">
      <c r="AB3837" s="1227"/>
      <c r="AC3837" s="1227"/>
      <c r="AD3837" s="1227"/>
      <c r="AE3837" s="1227"/>
    </row>
    <row r="3838" spans="28:31">
      <c r="AB3838" s="1227"/>
      <c r="AC3838" s="1227"/>
      <c r="AD3838" s="1227"/>
      <c r="AE3838" s="1227"/>
    </row>
    <row r="3839" spans="28:31">
      <c r="AB3839" s="1227"/>
      <c r="AC3839" s="1227"/>
      <c r="AD3839" s="1227"/>
      <c r="AE3839" s="1227"/>
    </row>
    <row r="3840" spans="28:31">
      <c r="AB3840" s="1227"/>
      <c r="AC3840" s="1227"/>
      <c r="AD3840" s="1227"/>
      <c r="AE3840" s="1227"/>
    </row>
    <row r="3841" spans="28:31">
      <c r="AB3841" s="1227"/>
      <c r="AC3841" s="1227"/>
      <c r="AD3841" s="1227"/>
      <c r="AE3841" s="1227"/>
    </row>
    <row r="3842" spans="28:31">
      <c r="AB3842" s="1227"/>
      <c r="AC3842" s="1227"/>
      <c r="AD3842" s="1227"/>
      <c r="AE3842" s="1227"/>
    </row>
    <row r="3843" spans="28:31">
      <c r="AB3843" s="1227"/>
      <c r="AC3843" s="1227"/>
      <c r="AD3843" s="1227"/>
      <c r="AE3843" s="1227"/>
    </row>
    <row r="3844" spans="28:31">
      <c r="AB3844" s="1227"/>
      <c r="AC3844" s="1227"/>
      <c r="AD3844" s="1227"/>
      <c r="AE3844" s="1227"/>
    </row>
    <row r="3845" spans="28:31">
      <c r="AB3845" s="1227"/>
      <c r="AC3845" s="1227"/>
      <c r="AD3845" s="1227"/>
      <c r="AE3845" s="1227"/>
    </row>
    <row r="3846" spans="28:31">
      <c r="AB3846" s="1227"/>
      <c r="AC3846" s="1227"/>
      <c r="AD3846" s="1227"/>
      <c r="AE3846" s="1227"/>
    </row>
    <row r="3847" spans="28:31">
      <c r="AB3847" s="1227"/>
      <c r="AC3847" s="1227"/>
      <c r="AD3847" s="1227"/>
      <c r="AE3847" s="1227"/>
    </row>
    <row r="3848" spans="28:31">
      <c r="AB3848" s="1227"/>
      <c r="AC3848" s="1227"/>
      <c r="AD3848" s="1227"/>
      <c r="AE3848" s="1227"/>
    </row>
    <row r="3849" spans="28:31">
      <c r="AB3849" s="1227"/>
      <c r="AC3849" s="1227"/>
      <c r="AD3849" s="1227"/>
      <c r="AE3849" s="1227"/>
    </row>
    <row r="3850" spans="28:31">
      <c r="AB3850" s="1227"/>
      <c r="AC3850" s="1227"/>
      <c r="AD3850" s="1227"/>
      <c r="AE3850" s="1227"/>
    </row>
    <row r="3851" spans="28:31">
      <c r="AB3851" s="1227"/>
      <c r="AC3851" s="1227"/>
      <c r="AD3851" s="1227"/>
      <c r="AE3851" s="1227"/>
    </row>
    <row r="3852" spans="28:31">
      <c r="AB3852" s="1227"/>
      <c r="AC3852" s="1227"/>
      <c r="AD3852" s="1227"/>
      <c r="AE3852" s="1227"/>
    </row>
    <row r="3853" spans="28:31">
      <c r="AB3853" s="1227"/>
      <c r="AC3853" s="1227"/>
      <c r="AD3853" s="1227"/>
      <c r="AE3853" s="1227"/>
    </row>
    <row r="3854" spans="28:31">
      <c r="AB3854" s="1227"/>
      <c r="AC3854" s="1227"/>
      <c r="AD3854" s="1227"/>
      <c r="AE3854" s="1227"/>
    </row>
    <row r="3855" spans="28:31">
      <c r="AB3855" s="1227"/>
      <c r="AC3855" s="1227"/>
      <c r="AD3855" s="1227"/>
      <c r="AE3855" s="1227"/>
    </row>
    <row r="3856" spans="28:31">
      <c r="AB3856" s="1227"/>
      <c r="AC3856" s="1227"/>
      <c r="AD3856" s="1227"/>
      <c r="AE3856" s="1227"/>
    </row>
    <row r="3857" spans="28:31">
      <c r="AB3857" s="1227"/>
      <c r="AC3857" s="1227"/>
      <c r="AD3857" s="1227"/>
      <c r="AE3857" s="1227"/>
    </row>
    <row r="3858" spans="28:31">
      <c r="AB3858" s="1227"/>
      <c r="AC3858" s="1227"/>
      <c r="AD3858" s="1227"/>
      <c r="AE3858" s="1227"/>
    </row>
    <row r="3859" spans="28:31">
      <c r="AB3859" s="1227"/>
      <c r="AC3859" s="1227"/>
      <c r="AD3859" s="1227"/>
      <c r="AE3859" s="1227"/>
    </row>
    <row r="3860" spans="28:31">
      <c r="AB3860" s="1227"/>
      <c r="AC3860" s="1227"/>
      <c r="AD3860" s="1227"/>
      <c r="AE3860" s="1227"/>
    </row>
    <row r="3861" spans="28:31">
      <c r="AB3861" s="1227"/>
      <c r="AC3861" s="1227"/>
      <c r="AD3861" s="1227"/>
      <c r="AE3861" s="1227"/>
    </row>
    <row r="3862" spans="28:31">
      <c r="AB3862" s="1227"/>
      <c r="AC3862" s="1227"/>
      <c r="AD3862" s="1227"/>
      <c r="AE3862" s="1227"/>
    </row>
    <row r="3863" spans="28:31">
      <c r="AB3863" s="1227"/>
      <c r="AC3863" s="1227"/>
      <c r="AD3863" s="1227"/>
      <c r="AE3863" s="1227"/>
    </row>
    <row r="3864" spans="28:31">
      <c r="AB3864" s="1227"/>
      <c r="AC3864" s="1227"/>
      <c r="AD3864" s="1227"/>
      <c r="AE3864" s="1227"/>
    </row>
    <row r="3865" spans="28:31">
      <c r="AB3865" s="1227"/>
      <c r="AC3865" s="1227"/>
      <c r="AD3865" s="1227"/>
      <c r="AE3865" s="1227"/>
    </row>
    <row r="3866" spans="28:31">
      <c r="AB3866" s="1227"/>
      <c r="AC3866" s="1227"/>
      <c r="AD3866" s="1227"/>
      <c r="AE3866" s="1227"/>
    </row>
    <row r="3867" spans="28:31">
      <c r="AB3867" s="1227"/>
      <c r="AC3867" s="1227"/>
      <c r="AD3867" s="1227"/>
      <c r="AE3867" s="1227"/>
    </row>
    <row r="3868" spans="28:31">
      <c r="AB3868" s="1227"/>
      <c r="AC3868" s="1227"/>
      <c r="AD3868" s="1227"/>
      <c r="AE3868" s="1227"/>
    </row>
    <row r="3869" spans="28:31">
      <c r="AB3869" s="1227"/>
      <c r="AC3869" s="1227"/>
      <c r="AD3869" s="1227"/>
      <c r="AE3869" s="1227"/>
    </row>
    <row r="3870" spans="28:31">
      <c r="AB3870" s="1227"/>
      <c r="AC3870" s="1227"/>
      <c r="AD3870" s="1227"/>
      <c r="AE3870" s="1227"/>
    </row>
    <row r="3871" spans="28:31">
      <c r="AB3871" s="1227"/>
      <c r="AC3871" s="1227"/>
      <c r="AD3871" s="1227"/>
      <c r="AE3871" s="1227"/>
    </row>
    <row r="3872" spans="28:31">
      <c r="AB3872" s="1227"/>
      <c r="AC3872" s="1227"/>
      <c r="AD3872" s="1227"/>
      <c r="AE3872" s="1227"/>
    </row>
    <row r="3873" spans="28:31">
      <c r="AB3873" s="1227"/>
      <c r="AC3873" s="1227"/>
      <c r="AD3873" s="1227"/>
      <c r="AE3873" s="1227"/>
    </row>
    <row r="3874" spans="28:31">
      <c r="AB3874" s="1227"/>
      <c r="AC3874" s="1227"/>
      <c r="AD3874" s="1227"/>
      <c r="AE3874" s="1227"/>
    </row>
    <row r="3875" spans="28:31">
      <c r="AB3875" s="1227"/>
      <c r="AC3875" s="1227"/>
      <c r="AD3875" s="1227"/>
      <c r="AE3875" s="1227"/>
    </row>
    <row r="3876" spans="28:31">
      <c r="AB3876" s="1227"/>
      <c r="AC3876" s="1227"/>
      <c r="AD3876" s="1227"/>
      <c r="AE3876" s="1227"/>
    </row>
    <row r="3877" spans="28:31">
      <c r="AB3877" s="1227"/>
      <c r="AC3877" s="1227"/>
      <c r="AD3877" s="1227"/>
      <c r="AE3877" s="1227"/>
    </row>
    <row r="3878" spans="28:31">
      <c r="AB3878" s="1227"/>
      <c r="AC3878" s="1227"/>
      <c r="AD3878" s="1227"/>
      <c r="AE3878" s="1227"/>
    </row>
    <row r="3879" spans="28:31">
      <c r="AB3879" s="1227"/>
      <c r="AC3879" s="1227"/>
      <c r="AD3879" s="1227"/>
      <c r="AE3879" s="1227"/>
    </row>
    <row r="3880" spans="28:31">
      <c r="AB3880" s="1227"/>
      <c r="AC3880" s="1227"/>
      <c r="AD3880" s="1227"/>
      <c r="AE3880" s="1227"/>
    </row>
    <row r="3881" spans="28:31">
      <c r="AB3881" s="1227"/>
      <c r="AC3881" s="1227"/>
      <c r="AD3881" s="1227"/>
      <c r="AE3881" s="1227"/>
    </row>
    <row r="3882" spans="28:31">
      <c r="AB3882" s="1227"/>
      <c r="AC3882" s="1227"/>
      <c r="AD3882" s="1227"/>
      <c r="AE3882" s="1227"/>
    </row>
    <row r="3883" spans="28:31">
      <c r="AB3883" s="1227"/>
      <c r="AC3883" s="1227"/>
      <c r="AD3883" s="1227"/>
      <c r="AE3883" s="1227"/>
    </row>
    <row r="3884" spans="28:31">
      <c r="AB3884" s="1227"/>
      <c r="AC3884" s="1227"/>
      <c r="AD3884" s="1227"/>
      <c r="AE3884" s="1227"/>
    </row>
    <row r="3885" spans="28:31">
      <c r="AB3885" s="1227"/>
      <c r="AC3885" s="1227"/>
      <c r="AD3885" s="1227"/>
      <c r="AE3885" s="1227"/>
    </row>
    <row r="3886" spans="28:31">
      <c r="AB3886" s="1227"/>
      <c r="AC3886" s="1227"/>
      <c r="AD3886" s="1227"/>
      <c r="AE3886" s="1227"/>
    </row>
    <row r="3887" spans="28:31">
      <c r="AB3887" s="1227"/>
      <c r="AC3887" s="1227"/>
      <c r="AD3887" s="1227"/>
      <c r="AE3887" s="1227"/>
    </row>
    <row r="3888" spans="28:31">
      <c r="AB3888" s="1227"/>
      <c r="AC3888" s="1227"/>
      <c r="AD3888" s="1227"/>
      <c r="AE3888" s="1227"/>
    </row>
    <row r="3889" spans="28:31">
      <c r="AB3889" s="1227"/>
      <c r="AC3889" s="1227"/>
      <c r="AD3889" s="1227"/>
      <c r="AE3889" s="1227"/>
    </row>
    <row r="3890" spans="28:31">
      <c r="AB3890" s="1227"/>
      <c r="AC3890" s="1227"/>
      <c r="AD3890" s="1227"/>
      <c r="AE3890" s="1227"/>
    </row>
    <row r="3891" spans="28:31">
      <c r="AB3891" s="1227"/>
      <c r="AC3891" s="1227"/>
      <c r="AD3891" s="1227"/>
      <c r="AE3891" s="1227"/>
    </row>
    <row r="3892" spans="28:31">
      <c r="AB3892" s="1227"/>
      <c r="AC3892" s="1227"/>
      <c r="AD3892" s="1227"/>
      <c r="AE3892" s="1227"/>
    </row>
    <row r="3893" spans="28:31">
      <c r="AB3893" s="1227"/>
      <c r="AC3893" s="1227"/>
      <c r="AD3893" s="1227"/>
      <c r="AE3893" s="1227"/>
    </row>
    <row r="3894" spans="28:31">
      <c r="AB3894" s="1227"/>
      <c r="AC3894" s="1227"/>
      <c r="AD3894" s="1227"/>
      <c r="AE3894" s="1227"/>
    </row>
    <row r="3895" spans="28:31">
      <c r="AB3895" s="1227"/>
      <c r="AC3895" s="1227"/>
      <c r="AD3895" s="1227"/>
      <c r="AE3895" s="1227"/>
    </row>
    <row r="3896" spans="28:31">
      <c r="AB3896" s="1227"/>
      <c r="AC3896" s="1227"/>
      <c r="AD3896" s="1227"/>
      <c r="AE3896" s="1227"/>
    </row>
    <row r="3897" spans="28:31">
      <c r="AB3897" s="1227"/>
      <c r="AC3897" s="1227"/>
      <c r="AD3897" s="1227"/>
      <c r="AE3897" s="1227"/>
    </row>
    <row r="3898" spans="28:31">
      <c r="AB3898" s="1227"/>
      <c r="AC3898" s="1227"/>
      <c r="AD3898" s="1227"/>
      <c r="AE3898" s="1227"/>
    </row>
    <row r="3899" spans="28:31">
      <c r="AB3899" s="1227"/>
      <c r="AC3899" s="1227"/>
      <c r="AD3899" s="1227"/>
      <c r="AE3899" s="1227"/>
    </row>
    <row r="3900" spans="28:31">
      <c r="AB3900" s="1227"/>
      <c r="AC3900" s="1227"/>
      <c r="AD3900" s="1227"/>
      <c r="AE3900" s="1227"/>
    </row>
    <row r="3901" spans="28:31">
      <c r="AB3901" s="1227"/>
      <c r="AC3901" s="1227"/>
      <c r="AD3901" s="1227"/>
      <c r="AE3901" s="1227"/>
    </row>
    <row r="3902" spans="28:31">
      <c r="AB3902" s="1227"/>
      <c r="AC3902" s="1227"/>
      <c r="AD3902" s="1227"/>
      <c r="AE3902" s="1227"/>
    </row>
    <row r="3903" spans="28:31">
      <c r="AB3903" s="1227"/>
      <c r="AC3903" s="1227"/>
      <c r="AD3903" s="1227"/>
      <c r="AE3903" s="1227"/>
    </row>
    <row r="3904" spans="28:31">
      <c r="AB3904" s="1227"/>
      <c r="AC3904" s="1227"/>
      <c r="AD3904" s="1227"/>
      <c r="AE3904" s="1227"/>
    </row>
    <row r="3905" spans="28:31">
      <c r="AB3905" s="1227"/>
      <c r="AC3905" s="1227"/>
      <c r="AD3905" s="1227"/>
      <c r="AE3905" s="1227"/>
    </row>
    <row r="3906" spans="28:31">
      <c r="AB3906" s="1227"/>
      <c r="AC3906" s="1227"/>
      <c r="AD3906" s="1227"/>
      <c r="AE3906" s="1227"/>
    </row>
    <row r="3907" spans="28:31">
      <c r="AB3907" s="1227"/>
      <c r="AC3907" s="1227"/>
      <c r="AD3907" s="1227"/>
      <c r="AE3907" s="1227"/>
    </row>
    <row r="3908" spans="28:31">
      <c r="AB3908" s="1227"/>
      <c r="AC3908" s="1227"/>
      <c r="AD3908" s="1227"/>
      <c r="AE3908" s="1227"/>
    </row>
    <row r="3909" spans="28:31">
      <c r="AB3909" s="1227"/>
      <c r="AC3909" s="1227"/>
      <c r="AD3909" s="1227"/>
      <c r="AE3909" s="1227"/>
    </row>
    <row r="3910" spans="28:31">
      <c r="AB3910" s="1227"/>
      <c r="AC3910" s="1227"/>
      <c r="AD3910" s="1227"/>
      <c r="AE3910" s="1227"/>
    </row>
    <row r="3911" spans="28:31">
      <c r="AB3911" s="1227"/>
      <c r="AC3911" s="1227"/>
      <c r="AD3911" s="1227"/>
      <c r="AE3911" s="1227"/>
    </row>
    <row r="3912" spans="28:31">
      <c r="AB3912" s="1227"/>
      <c r="AC3912" s="1227"/>
      <c r="AD3912" s="1227"/>
      <c r="AE3912" s="1227"/>
    </row>
    <row r="3913" spans="28:31">
      <c r="AB3913" s="1227"/>
      <c r="AC3913" s="1227"/>
      <c r="AD3913" s="1227"/>
      <c r="AE3913" s="1227"/>
    </row>
    <row r="3914" spans="28:31">
      <c r="AB3914" s="1227"/>
      <c r="AC3914" s="1227"/>
      <c r="AD3914" s="1227"/>
      <c r="AE3914" s="1227"/>
    </row>
    <row r="3915" spans="28:31">
      <c r="AB3915" s="1227"/>
      <c r="AC3915" s="1227"/>
      <c r="AD3915" s="1227"/>
      <c r="AE3915" s="1227"/>
    </row>
    <row r="3916" spans="28:31">
      <c r="AB3916" s="1227"/>
      <c r="AC3916" s="1227"/>
      <c r="AD3916" s="1227"/>
      <c r="AE3916" s="1227"/>
    </row>
    <row r="3917" spans="28:31">
      <c r="AB3917" s="1227"/>
      <c r="AC3917" s="1227"/>
      <c r="AD3917" s="1227"/>
      <c r="AE3917" s="1227"/>
    </row>
    <row r="3918" spans="28:31">
      <c r="AB3918" s="1227"/>
      <c r="AC3918" s="1227"/>
      <c r="AD3918" s="1227"/>
      <c r="AE3918" s="1227"/>
    </row>
    <row r="3919" spans="28:31">
      <c r="AB3919" s="1227"/>
      <c r="AC3919" s="1227"/>
      <c r="AD3919" s="1227"/>
      <c r="AE3919" s="1227"/>
    </row>
    <row r="3920" spans="28:31">
      <c r="AB3920" s="1227"/>
      <c r="AC3920" s="1227"/>
      <c r="AD3920" s="1227"/>
      <c r="AE3920" s="1227"/>
    </row>
    <row r="3921" spans="28:31">
      <c r="AB3921" s="1227"/>
      <c r="AC3921" s="1227"/>
      <c r="AD3921" s="1227"/>
      <c r="AE3921" s="1227"/>
    </row>
    <row r="3922" spans="28:31">
      <c r="AB3922" s="1227"/>
      <c r="AC3922" s="1227"/>
      <c r="AD3922" s="1227"/>
      <c r="AE3922" s="1227"/>
    </row>
    <row r="3923" spans="28:31">
      <c r="AB3923" s="1227"/>
      <c r="AC3923" s="1227"/>
      <c r="AD3923" s="1227"/>
      <c r="AE3923" s="1227"/>
    </row>
    <row r="3924" spans="28:31">
      <c r="AB3924" s="1227"/>
      <c r="AC3924" s="1227"/>
      <c r="AD3924" s="1227"/>
      <c r="AE3924" s="1227"/>
    </row>
    <row r="3925" spans="28:31">
      <c r="AB3925" s="1227"/>
      <c r="AC3925" s="1227"/>
      <c r="AD3925" s="1227"/>
      <c r="AE3925" s="1227"/>
    </row>
    <row r="3926" spans="28:31">
      <c r="AB3926" s="1227"/>
      <c r="AC3926" s="1227"/>
      <c r="AD3926" s="1227"/>
      <c r="AE3926" s="1227"/>
    </row>
    <row r="3927" spans="28:31">
      <c r="AB3927" s="1227"/>
      <c r="AC3927" s="1227"/>
      <c r="AD3927" s="1227"/>
      <c r="AE3927" s="1227"/>
    </row>
    <row r="3928" spans="28:31">
      <c r="AB3928" s="1227"/>
      <c r="AC3928" s="1227"/>
      <c r="AD3928" s="1227"/>
      <c r="AE3928" s="1227"/>
    </row>
    <row r="3929" spans="28:31">
      <c r="AB3929" s="1227"/>
      <c r="AC3929" s="1227"/>
      <c r="AD3929" s="1227"/>
      <c r="AE3929" s="1227"/>
    </row>
    <row r="3930" spans="28:31">
      <c r="AB3930" s="1227"/>
      <c r="AC3930" s="1227"/>
      <c r="AD3930" s="1227"/>
      <c r="AE3930" s="1227"/>
    </row>
    <row r="3931" spans="28:31">
      <c r="AB3931" s="1227"/>
      <c r="AC3931" s="1227"/>
      <c r="AD3931" s="1227"/>
      <c r="AE3931" s="1227"/>
    </row>
    <row r="3932" spans="28:31">
      <c r="AB3932" s="1227"/>
      <c r="AC3932" s="1227"/>
      <c r="AD3932" s="1227"/>
      <c r="AE3932" s="1227"/>
    </row>
    <row r="3933" spans="28:31">
      <c r="AB3933" s="1227"/>
      <c r="AC3933" s="1227"/>
      <c r="AD3933" s="1227"/>
      <c r="AE3933" s="1227"/>
    </row>
    <row r="3934" spans="28:31">
      <c r="AB3934" s="1227"/>
      <c r="AC3934" s="1227"/>
      <c r="AD3934" s="1227"/>
      <c r="AE3934" s="1227"/>
    </row>
    <row r="3935" spans="28:31">
      <c r="AB3935" s="1227"/>
      <c r="AC3935" s="1227"/>
      <c r="AD3935" s="1227"/>
      <c r="AE3935" s="1227"/>
    </row>
    <row r="3936" spans="28:31">
      <c r="AB3936" s="1227"/>
      <c r="AC3936" s="1227"/>
      <c r="AD3936" s="1227"/>
      <c r="AE3936" s="1227"/>
    </row>
    <row r="3937" spans="28:31">
      <c r="AB3937" s="1227"/>
      <c r="AC3937" s="1227"/>
      <c r="AD3937" s="1227"/>
      <c r="AE3937" s="1227"/>
    </row>
    <row r="3938" spans="28:31">
      <c r="AB3938" s="1227"/>
      <c r="AC3938" s="1227"/>
      <c r="AD3938" s="1227"/>
      <c r="AE3938" s="1227"/>
    </row>
    <row r="3939" spans="28:31">
      <c r="AB3939" s="1227"/>
      <c r="AC3939" s="1227"/>
      <c r="AD3939" s="1227"/>
      <c r="AE3939" s="1227"/>
    </row>
    <row r="3940" spans="28:31">
      <c r="AB3940" s="1227"/>
      <c r="AC3940" s="1227"/>
      <c r="AD3940" s="1227"/>
      <c r="AE3940" s="1227"/>
    </row>
    <row r="3941" spans="28:31">
      <c r="AB3941" s="1227"/>
      <c r="AC3941" s="1227"/>
      <c r="AD3941" s="1227"/>
      <c r="AE3941" s="1227"/>
    </row>
    <row r="3942" spans="28:31">
      <c r="AB3942" s="1227"/>
      <c r="AC3942" s="1227"/>
      <c r="AD3942" s="1227"/>
      <c r="AE3942" s="1227"/>
    </row>
    <row r="3943" spans="28:31">
      <c r="AB3943" s="1227"/>
      <c r="AC3943" s="1227"/>
      <c r="AD3943" s="1227"/>
      <c r="AE3943" s="1227"/>
    </row>
    <row r="3944" spans="28:31">
      <c r="AB3944" s="1227"/>
      <c r="AC3944" s="1227"/>
      <c r="AD3944" s="1227"/>
      <c r="AE3944" s="1227"/>
    </row>
    <row r="3945" spans="28:31">
      <c r="AB3945" s="1227"/>
      <c r="AC3945" s="1227"/>
      <c r="AD3945" s="1227"/>
      <c r="AE3945" s="1227"/>
    </row>
    <row r="3946" spans="28:31">
      <c r="AB3946" s="1227"/>
      <c r="AC3946" s="1227"/>
      <c r="AD3946" s="1227"/>
      <c r="AE3946" s="1227"/>
    </row>
    <row r="3947" spans="28:31">
      <c r="AB3947" s="1227"/>
      <c r="AC3947" s="1227"/>
      <c r="AD3947" s="1227"/>
      <c r="AE3947" s="1227"/>
    </row>
    <row r="3948" spans="28:31">
      <c r="AB3948" s="1227"/>
      <c r="AC3948" s="1227"/>
      <c r="AD3948" s="1227"/>
      <c r="AE3948" s="1227"/>
    </row>
    <row r="3949" spans="28:31">
      <c r="AB3949" s="1227"/>
      <c r="AC3949" s="1227"/>
      <c r="AD3949" s="1227"/>
      <c r="AE3949" s="1227"/>
    </row>
    <row r="3950" spans="28:31">
      <c r="AB3950" s="1227"/>
      <c r="AC3950" s="1227"/>
      <c r="AD3950" s="1227"/>
      <c r="AE3950" s="1227"/>
    </row>
    <row r="3951" spans="28:31">
      <c r="AB3951" s="1227"/>
      <c r="AC3951" s="1227"/>
      <c r="AD3951" s="1227"/>
      <c r="AE3951" s="1227"/>
    </row>
    <row r="3952" spans="28:31">
      <c r="AB3952" s="1227"/>
      <c r="AC3952" s="1227"/>
      <c r="AD3952" s="1227"/>
      <c r="AE3952" s="1227"/>
    </row>
    <row r="3953" spans="28:31">
      <c r="AB3953" s="1227"/>
      <c r="AC3953" s="1227"/>
      <c r="AD3953" s="1227"/>
      <c r="AE3953" s="1227"/>
    </row>
    <row r="3954" spans="28:31">
      <c r="AB3954" s="1227"/>
      <c r="AC3954" s="1227"/>
      <c r="AD3954" s="1227"/>
      <c r="AE3954" s="1227"/>
    </row>
    <row r="3955" spans="28:31">
      <c r="AB3955" s="1227"/>
      <c r="AC3955" s="1227"/>
      <c r="AD3955" s="1227"/>
      <c r="AE3955" s="1227"/>
    </row>
    <row r="3956" spans="28:31">
      <c r="AB3956" s="1227"/>
      <c r="AC3956" s="1227"/>
      <c r="AD3956" s="1227"/>
      <c r="AE3956" s="1227"/>
    </row>
    <row r="3957" spans="28:31">
      <c r="AB3957" s="1227"/>
      <c r="AC3957" s="1227"/>
      <c r="AD3957" s="1227"/>
      <c r="AE3957" s="1227"/>
    </row>
    <row r="3958" spans="28:31">
      <c r="AB3958" s="1227"/>
      <c r="AC3958" s="1227"/>
      <c r="AD3958" s="1227"/>
      <c r="AE3958" s="1227"/>
    </row>
    <row r="3959" spans="28:31">
      <c r="AB3959" s="1227"/>
      <c r="AC3959" s="1227"/>
      <c r="AD3959" s="1227"/>
      <c r="AE3959" s="1227"/>
    </row>
    <row r="3960" spans="28:31">
      <c r="AB3960" s="1227"/>
      <c r="AC3960" s="1227"/>
      <c r="AD3960" s="1227"/>
      <c r="AE3960" s="1227"/>
    </row>
    <row r="3961" spans="28:31">
      <c r="AB3961" s="1227"/>
      <c r="AC3961" s="1227"/>
      <c r="AD3961" s="1227"/>
      <c r="AE3961" s="1227"/>
    </row>
    <row r="3962" spans="28:31">
      <c r="AB3962" s="1227"/>
      <c r="AC3962" s="1227"/>
      <c r="AD3962" s="1227"/>
      <c r="AE3962" s="1227"/>
    </row>
    <row r="3963" spans="28:31">
      <c r="AB3963" s="1227"/>
      <c r="AC3963" s="1227"/>
      <c r="AD3963" s="1227"/>
      <c r="AE3963" s="1227"/>
    </row>
    <row r="3964" spans="28:31">
      <c r="AB3964" s="1227"/>
      <c r="AC3964" s="1227"/>
      <c r="AD3964" s="1227"/>
      <c r="AE3964" s="1227"/>
    </row>
    <row r="3965" spans="28:31">
      <c r="AB3965" s="1227"/>
      <c r="AC3965" s="1227"/>
      <c r="AD3965" s="1227"/>
      <c r="AE3965" s="1227"/>
    </row>
    <row r="3966" spans="28:31">
      <c r="AB3966" s="1227"/>
      <c r="AC3966" s="1227"/>
      <c r="AD3966" s="1227"/>
      <c r="AE3966" s="1227"/>
    </row>
    <row r="3967" spans="28:31">
      <c r="AB3967" s="1227"/>
      <c r="AC3967" s="1227"/>
      <c r="AD3967" s="1227"/>
      <c r="AE3967" s="1227"/>
    </row>
    <row r="3968" spans="28:31">
      <c r="AB3968" s="1227"/>
      <c r="AC3968" s="1227"/>
      <c r="AD3968" s="1227"/>
      <c r="AE3968" s="1227"/>
    </row>
    <row r="3969" spans="28:31">
      <c r="AB3969" s="1227"/>
      <c r="AC3969" s="1227"/>
      <c r="AD3969" s="1227"/>
      <c r="AE3969" s="1227"/>
    </row>
    <row r="3970" spans="28:31">
      <c r="AB3970" s="1227"/>
      <c r="AC3970" s="1227"/>
      <c r="AD3970" s="1227"/>
      <c r="AE3970" s="1227"/>
    </row>
    <row r="3971" spans="28:31">
      <c r="AB3971" s="1227"/>
      <c r="AC3971" s="1227"/>
      <c r="AD3971" s="1227"/>
      <c r="AE3971" s="1227"/>
    </row>
    <row r="3972" spans="28:31">
      <c r="AB3972" s="1227"/>
      <c r="AC3972" s="1227"/>
      <c r="AD3972" s="1227"/>
      <c r="AE3972" s="1227"/>
    </row>
    <row r="3973" spans="28:31">
      <c r="AB3973" s="1227"/>
      <c r="AC3973" s="1227"/>
      <c r="AD3973" s="1227"/>
      <c r="AE3973" s="1227"/>
    </row>
    <row r="3974" spans="28:31">
      <c r="AB3974" s="1227"/>
      <c r="AC3974" s="1227"/>
      <c r="AD3974" s="1227"/>
      <c r="AE3974" s="1227"/>
    </row>
    <row r="3975" spans="28:31">
      <c r="AB3975" s="1227"/>
      <c r="AC3975" s="1227"/>
      <c r="AD3975" s="1227"/>
      <c r="AE3975" s="1227"/>
    </row>
    <row r="3976" spans="28:31">
      <c r="AB3976" s="1227"/>
      <c r="AC3976" s="1227"/>
      <c r="AD3976" s="1227"/>
      <c r="AE3976" s="1227"/>
    </row>
    <row r="3977" spans="28:31">
      <c r="AB3977" s="1227"/>
      <c r="AC3977" s="1227"/>
      <c r="AD3977" s="1227"/>
      <c r="AE3977" s="1227"/>
    </row>
    <row r="3978" spans="28:31">
      <c r="AB3978" s="1227"/>
      <c r="AC3978" s="1227"/>
      <c r="AD3978" s="1227"/>
      <c r="AE3978" s="1227"/>
    </row>
    <row r="3979" spans="28:31">
      <c r="AB3979" s="1227"/>
      <c r="AC3979" s="1227"/>
      <c r="AD3979" s="1227"/>
      <c r="AE3979" s="1227"/>
    </row>
    <row r="3980" spans="28:31">
      <c r="AB3980" s="1227"/>
      <c r="AC3980" s="1227"/>
      <c r="AD3980" s="1227"/>
      <c r="AE3980" s="1227"/>
    </row>
    <row r="3981" spans="28:31">
      <c r="AB3981" s="1227"/>
      <c r="AC3981" s="1227"/>
      <c r="AD3981" s="1227"/>
      <c r="AE3981" s="1227"/>
    </row>
    <row r="3982" spans="28:31">
      <c r="AB3982" s="1227"/>
      <c r="AC3982" s="1227"/>
      <c r="AD3982" s="1227"/>
      <c r="AE3982" s="1227"/>
    </row>
    <row r="3983" spans="28:31">
      <c r="AB3983" s="1227"/>
      <c r="AC3983" s="1227"/>
      <c r="AD3983" s="1227"/>
      <c r="AE3983" s="1227"/>
    </row>
    <row r="3984" spans="28:31">
      <c r="AB3984" s="1227"/>
      <c r="AC3984" s="1227"/>
      <c r="AD3984" s="1227"/>
      <c r="AE3984" s="1227"/>
    </row>
    <row r="3985" spans="28:31">
      <c r="AB3985" s="1227"/>
      <c r="AC3985" s="1227"/>
      <c r="AD3985" s="1227"/>
      <c r="AE3985" s="1227"/>
    </row>
    <row r="3986" spans="28:31">
      <c r="AB3986" s="1227"/>
      <c r="AC3986" s="1227"/>
      <c r="AD3986" s="1227"/>
      <c r="AE3986" s="1227"/>
    </row>
    <row r="3987" spans="28:31">
      <c r="AB3987" s="1227"/>
      <c r="AC3987" s="1227"/>
      <c r="AD3987" s="1227"/>
      <c r="AE3987" s="1227"/>
    </row>
    <row r="3988" spans="28:31">
      <c r="AB3988" s="1227"/>
      <c r="AC3988" s="1227"/>
      <c r="AD3988" s="1227"/>
      <c r="AE3988" s="1227"/>
    </row>
    <row r="3989" spans="28:31">
      <c r="AB3989" s="1227"/>
      <c r="AC3989" s="1227"/>
      <c r="AD3989" s="1227"/>
      <c r="AE3989" s="1227"/>
    </row>
    <row r="3990" spans="28:31">
      <c r="AB3990" s="1227"/>
      <c r="AC3990" s="1227"/>
      <c r="AD3990" s="1227"/>
      <c r="AE3990" s="1227"/>
    </row>
    <row r="3991" spans="28:31">
      <c r="AB3991" s="1227"/>
      <c r="AC3991" s="1227"/>
      <c r="AD3991" s="1227"/>
      <c r="AE3991" s="1227"/>
    </row>
    <row r="3992" spans="28:31">
      <c r="AB3992" s="1227"/>
      <c r="AC3992" s="1227"/>
      <c r="AD3992" s="1227"/>
      <c r="AE3992" s="1227"/>
    </row>
    <row r="3993" spans="28:31">
      <c r="AB3993" s="1227"/>
      <c r="AC3993" s="1227"/>
      <c r="AD3993" s="1227"/>
      <c r="AE3993" s="1227"/>
    </row>
    <row r="3994" spans="28:31">
      <c r="AB3994" s="1227"/>
      <c r="AC3994" s="1227"/>
      <c r="AD3994" s="1227"/>
      <c r="AE3994" s="1227"/>
    </row>
    <row r="3995" spans="28:31">
      <c r="AB3995" s="1227"/>
      <c r="AC3995" s="1227"/>
      <c r="AD3995" s="1227"/>
      <c r="AE3995" s="1227"/>
    </row>
    <row r="3996" spans="28:31">
      <c r="AB3996" s="1227"/>
      <c r="AC3996" s="1227"/>
      <c r="AD3996" s="1227"/>
      <c r="AE3996" s="1227"/>
    </row>
    <row r="3997" spans="28:31">
      <c r="AB3997" s="1227"/>
      <c r="AC3997" s="1227"/>
      <c r="AD3997" s="1227"/>
      <c r="AE3997" s="1227"/>
    </row>
    <row r="3998" spans="28:31">
      <c r="AB3998" s="1227"/>
      <c r="AC3998" s="1227"/>
      <c r="AD3998" s="1227"/>
      <c r="AE3998" s="1227"/>
    </row>
    <row r="3999" spans="28:31">
      <c r="AB3999" s="1227"/>
      <c r="AC3999" s="1227"/>
      <c r="AD3999" s="1227"/>
      <c r="AE3999" s="1227"/>
    </row>
    <row r="4000" spans="28:31">
      <c r="AB4000" s="1227"/>
      <c r="AC4000" s="1227"/>
      <c r="AD4000" s="1227"/>
      <c r="AE4000" s="1227"/>
    </row>
    <row r="4001" spans="28:31">
      <c r="AB4001" s="1227"/>
      <c r="AC4001" s="1227"/>
      <c r="AD4001" s="1227"/>
      <c r="AE4001" s="1227"/>
    </row>
    <row r="4002" spans="28:31">
      <c r="AB4002" s="1227"/>
      <c r="AC4002" s="1227"/>
      <c r="AD4002" s="1227"/>
      <c r="AE4002" s="1227"/>
    </row>
    <row r="4003" spans="28:31">
      <c r="AB4003" s="1227"/>
      <c r="AC4003" s="1227"/>
      <c r="AD4003" s="1227"/>
      <c r="AE4003" s="1227"/>
    </row>
    <row r="4004" spans="28:31">
      <c r="AB4004" s="1227"/>
      <c r="AC4004" s="1227"/>
      <c r="AD4004" s="1227"/>
      <c r="AE4004" s="1227"/>
    </row>
    <row r="4005" spans="28:31">
      <c r="AB4005" s="1227"/>
      <c r="AC4005" s="1227"/>
      <c r="AD4005" s="1227"/>
      <c r="AE4005" s="1227"/>
    </row>
    <row r="4006" spans="28:31">
      <c r="AB4006" s="1227"/>
      <c r="AC4006" s="1227"/>
      <c r="AD4006" s="1227"/>
      <c r="AE4006" s="1227"/>
    </row>
    <row r="4007" spans="28:31">
      <c r="AB4007" s="1227"/>
      <c r="AC4007" s="1227"/>
      <c r="AD4007" s="1227"/>
      <c r="AE4007" s="1227"/>
    </row>
    <row r="4008" spans="28:31">
      <c r="AB4008" s="1227"/>
      <c r="AC4008" s="1227"/>
      <c r="AD4008" s="1227"/>
      <c r="AE4008" s="1227"/>
    </row>
    <row r="4009" spans="28:31">
      <c r="AB4009" s="1227"/>
      <c r="AC4009" s="1227"/>
      <c r="AD4009" s="1227"/>
      <c r="AE4009" s="1227"/>
    </row>
    <row r="4010" spans="28:31">
      <c r="AB4010" s="1227"/>
      <c r="AC4010" s="1227"/>
      <c r="AD4010" s="1227"/>
      <c r="AE4010" s="1227"/>
    </row>
    <row r="4011" spans="28:31">
      <c r="AB4011" s="1227"/>
      <c r="AC4011" s="1227"/>
      <c r="AD4011" s="1227"/>
      <c r="AE4011" s="1227"/>
    </row>
    <row r="4012" spans="28:31">
      <c r="AB4012" s="1227"/>
      <c r="AC4012" s="1227"/>
      <c r="AD4012" s="1227"/>
      <c r="AE4012" s="1227"/>
    </row>
    <row r="4013" spans="28:31">
      <c r="AB4013" s="1227"/>
      <c r="AC4013" s="1227"/>
      <c r="AD4013" s="1227"/>
      <c r="AE4013" s="1227"/>
    </row>
    <row r="4014" spans="28:31">
      <c r="AB4014" s="1227"/>
      <c r="AC4014" s="1227"/>
      <c r="AD4014" s="1227"/>
      <c r="AE4014" s="1227"/>
    </row>
    <row r="4015" spans="28:31">
      <c r="AB4015" s="1227"/>
      <c r="AC4015" s="1227"/>
      <c r="AD4015" s="1227"/>
      <c r="AE4015" s="1227"/>
    </row>
    <row r="4016" spans="28:31">
      <c r="AB4016" s="1227"/>
      <c r="AC4016" s="1227"/>
      <c r="AD4016" s="1227"/>
      <c r="AE4016" s="1227"/>
    </row>
    <row r="4017" spans="28:31">
      <c r="AB4017" s="1227"/>
      <c r="AC4017" s="1227"/>
      <c r="AD4017" s="1227"/>
      <c r="AE4017" s="1227"/>
    </row>
    <row r="4018" spans="28:31">
      <c r="AB4018" s="1227"/>
      <c r="AC4018" s="1227"/>
      <c r="AD4018" s="1227"/>
      <c r="AE4018" s="1227"/>
    </row>
    <row r="4019" spans="28:31">
      <c r="AB4019" s="1227"/>
      <c r="AC4019" s="1227"/>
      <c r="AD4019" s="1227"/>
      <c r="AE4019" s="1227"/>
    </row>
    <row r="4020" spans="28:31">
      <c r="AB4020" s="1227"/>
      <c r="AC4020" s="1227"/>
      <c r="AD4020" s="1227"/>
      <c r="AE4020" s="1227"/>
    </row>
    <row r="4021" spans="28:31">
      <c r="AB4021" s="1227"/>
      <c r="AC4021" s="1227"/>
      <c r="AD4021" s="1227"/>
      <c r="AE4021" s="1227"/>
    </row>
    <row r="4022" spans="28:31">
      <c r="AB4022" s="1227"/>
      <c r="AC4022" s="1227"/>
      <c r="AD4022" s="1227"/>
      <c r="AE4022" s="1227"/>
    </row>
    <row r="4023" spans="28:31">
      <c r="AB4023" s="1227"/>
      <c r="AC4023" s="1227"/>
      <c r="AD4023" s="1227"/>
      <c r="AE4023" s="1227"/>
    </row>
    <row r="4024" spans="28:31">
      <c r="AB4024" s="1227"/>
      <c r="AC4024" s="1227"/>
      <c r="AD4024" s="1227"/>
      <c r="AE4024" s="1227"/>
    </row>
    <row r="4025" spans="28:31">
      <c r="AB4025" s="1227"/>
      <c r="AC4025" s="1227"/>
      <c r="AD4025" s="1227"/>
      <c r="AE4025" s="1227"/>
    </row>
    <row r="4026" spans="28:31">
      <c r="AB4026" s="1227"/>
      <c r="AC4026" s="1227"/>
      <c r="AD4026" s="1227"/>
      <c r="AE4026" s="1227"/>
    </row>
    <row r="4027" spans="28:31">
      <c r="AB4027" s="1227"/>
      <c r="AC4027" s="1227"/>
      <c r="AD4027" s="1227"/>
      <c r="AE4027" s="1227"/>
    </row>
    <row r="4028" spans="28:31">
      <c r="AB4028" s="1227"/>
      <c r="AC4028" s="1227"/>
      <c r="AD4028" s="1227"/>
      <c r="AE4028" s="1227"/>
    </row>
    <row r="4029" spans="28:31">
      <c r="AB4029" s="1227"/>
      <c r="AC4029" s="1227"/>
      <c r="AD4029" s="1227"/>
      <c r="AE4029" s="1227"/>
    </row>
    <row r="4030" spans="28:31">
      <c r="AB4030" s="1227"/>
      <c r="AC4030" s="1227"/>
      <c r="AD4030" s="1227"/>
      <c r="AE4030" s="1227"/>
    </row>
    <row r="4031" spans="28:31">
      <c r="AB4031" s="1227"/>
      <c r="AC4031" s="1227"/>
      <c r="AD4031" s="1227"/>
      <c r="AE4031" s="1227"/>
    </row>
    <row r="4032" spans="28:31">
      <c r="AB4032" s="1227"/>
      <c r="AC4032" s="1227"/>
      <c r="AD4032" s="1227"/>
      <c r="AE4032" s="1227"/>
    </row>
    <row r="4033" spans="28:31">
      <c r="AB4033" s="1227"/>
      <c r="AC4033" s="1227"/>
      <c r="AD4033" s="1227"/>
      <c r="AE4033" s="1227"/>
    </row>
    <row r="4034" spans="28:31">
      <c r="AB4034" s="1227"/>
      <c r="AC4034" s="1227"/>
      <c r="AD4034" s="1227"/>
      <c r="AE4034" s="1227"/>
    </row>
    <row r="4035" spans="28:31">
      <c r="AB4035" s="1227"/>
      <c r="AC4035" s="1227"/>
      <c r="AD4035" s="1227"/>
      <c r="AE4035" s="1227"/>
    </row>
    <row r="4036" spans="28:31">
      <c r="AB4036" s="1227"/>
      <c r="AC4036" s="1227"/>
      <c r="AD4036" s="1227"/>
      <c r="AE4036" s="1227"/>
    </row>
    <row r="4037" spans="28:31">
      <c r="AB4037" s="1227"/>
      <c r="AC4037" s="1227"/>
      <c r="AD4037" s="1227"/>
      <c r="AE4037" s="1227"/>
    </row>
    <row r="4038" spans="28:31">
      <c r="AB4038" s="1227"/>
      <c r="AC4038" s="1227"/>
      <c r="AD4038" s="1227"/>
      <c r="AE4038" s="1227"/>
    </row>
    <row r="4039" spans="28:31">
      <c r="AB4039" s="1227"/>
      <c r="AC4039" s="1227"/>
      <c r="AD4039" s="1227"/>
      <c r="AE4039" s="1227"/>
    </row>
    <row r="4040" spans="28:31">
      <c r="AB4040" s="1227"/>
      <c r="AC4040" s="1227"/>
      <c r="AD4040" s="1227"/>
      <c r="AE4040" s="1227"/>
    </row>
    <row r="4041" spans="28:31">
      <c r="AB4041" s="1227"/>
      <c r="AC4041" s="1227"/>
      <c r="AD4041" s="1227"/>
      <c r="AE4041" s="1227"/>
    </row>
    <row r="4042" spans="28:31">
      <c r="AB4042" s="1227"/>
      <c r="AC4042" s="1227"/>
      <c r="AD4042" s="1227"/>
      <c r="AE4042" s="1227"/>
    </row>
    <row r="4043" spans="28:31">
      <c r="AB4043" s="1227"/>
      <c r="AC4043" s="1227"/>
      <c r="AD4043" s="1227"/>
      <c r="AE4043" s="1227"/>
    </row>
    <row r="4044" spans="28:31">
      <c r="AB4044" s="1227"/>
      <c r="AC4044" s="1227"/>
      <c r="AD4044" s="1227"/>
      <c r="AE4044" s="1227"/>
    </row>
    <row r="4045" spans="28:31">
      <c r="AB4045" s="1227"/>
      <c r="AC4045" s="1227"/>
      <c r="AD4045" s="1227"/>
      <c r="AE4045" s="1227"/>
    </row>
    <row r="4046" spans="28:31">
      <c r="AB4046" s="1227"/>
      <c r="AC4046" s="1227"/>
      <c r="AD4046" s="1227"/>
      <c r="AE4046" s="1227"/>
    </row>
    <row r="4047" spans="28:31">
      <c r="AB4047" s="1227"/>
      <c r="AC4047" s="1227"/>
      <c r="AD4047" s="1227"/>
      <c r="AE4047" s="1227"/>
    </row>
    <row r="4048" spans="28:31">
      <c r="AB4048" s="1227"/>
      <c r="AC4048" s="1227"/>
      <c r="AD4048" s="1227"/>
      <c r="AE4048" s="1227"/>
    </row>
    <row r="4049" spans="28:31">
      <c r="AB4049" s="1227"/>
      <c r="AC4049" s="1227"/>
      <c r="AD4049" s="1227"/>
      <c r="AE4049" s="1227"/>
    </row>
    <row r="4050" spans="28:31">
      <c r="AB4050" s="1227"/>
      <c r="AC4050" s="1227"/>
      <c r="AD4050" s="1227"/>
      <c r="AE4050" s="1227"/>
    </row>
    <row r="4051" spans="28:31">
      <c r="AB4051" s="1227"/>
      <c r="AC4051" s="1227"/>
      <c r="AD4051" s="1227"/>
      <c r="AE4051" s="1227"/>
    </row>
    <row r="4052" spans="28:31">
      <c r="AB4052" s="1227"/>
      <c r="AC4052" s="1227"/>
      <c r="AD4052" s="1227"/>
      <c r="AE4052" s="1227"/>
    </row>
    <row r="4053" spans="28:31">
      <c r="AB4053" s="1227"/>
      <c r="AC4053" s="1227"/>
      <c r="AD4053" s="1227"/>
      <c r="AE4053" s="1227"/>
    </row>
    <row r="4054" spans="28:31">
      <c r="AB4054" s="1227"/>
      <c r="AC4054" s="1227"/>
      <c r="AD4054" s="1227"/>
      <c r="AE4054" s="1227"/>
    </row>
    <row r="4055" spans="28:31">
      <c r="AB4055" s="1227"/>
      <c r="AC4055" s="1227"/>
      <c r="AD4055" s="1227"/>
      <c r="AE4055" s="1227"/>
    </row>
    <row r="4056" spans="28:31">
      <c r="AB4056" s="1227"/>
      <c r="AC4056" s="1227"/>
      <c r="AD4056" s="1227"/>
      <c r="AE4056" s="1227"/>
    </row>
    <row r="4057" spans="28:31">
      <c r="AB4057" s="1227"/>
      <c r="AC4057" s="1227"/>
      <c r="AD4057" s="1227"/>
      <c r="AE4057" s="1227"/>
    </row>
    <row r="4058" spans="28:31">
      <c r="AB4058" s="1227"/>
      <c r="AC4058" s="1227"/>
      <c r="AD4058" s="1227"/>
      <c r="AE4058" s="1227"/>
    </row>
  </sheetData>
  <sheetProtection algorithmName="SHA-512" hashValue="ARuAiV+3Ysh2RAgruf7Q2sSHDOZFgiypKMxnCEDzwR0uMSImWUj7QsrBRiaGboL6t21hQhjVoGGJEPs5QtNZfQ==" saltValue="EhsUG/i2D6Od/Cn/EK4smw==" spinCount="100000" sheet="1" objects="1" scenarios="1"/>
  <mergeCells count="48">
    <mergeCell ref="G7:V7"/>
    <mergeCell ref="Z7:Z9"/>
    <mergeCell ref="G8:W8"/>
    <mergeCell ref="G9:V9"/>
    <mergeCell ref="F5:W5"/>
    <mergeCell ref="E11:W11"/>
    <mergeCell ref="F13:V13"/>
    <mergeCell ref="Z13:Z15"/>
    <mergeCell ref="F14:W14"/>
    <mergeCell ref="F15:V15"/>
    <mergeCell ref="C47:W47"/>
    <mergeCell ref="D49:V49"/>
    <mergeCell ref="D19:W19"/>
    <mergeCell ref="D23:W23"/>
    <mergeCell ref="D27:W27"/>
    <mergeCell ref="D33:W33"/>
    <mergeCell ref="D36:F36"/>
    <mergeCell ref="D37:F37"/>
    <mergeCell ref="N36:P36"/>
    <mergeCell ref="N37:P37"/>
    <mergeCell ref="D41:W41"/>
    <mergeCell ref="D39:W39"/>
    <mergeCell ref="Q37:R37"/>
    <mergeCell ref="D51:W51"/>
    <mergeCell ref="E59:R59"/>
    <mergeCell ref="S59:W59"/>
    <mergeCell ref="S57:W57"/>
    <mergeCell ref="S55:W55"/>
    <mergeCell ref="S53:W53"/>
    <mergeCell ref="E57:R57"/>
    <mergeCell ref="E55:R55"/>
    <mergeCell ref="E53:R53"/>
    <mergeCell ref="X1:Z3"/>
    <mergeCell ref="F3:W3"/>
    <mergeCell ref="Z37:Z45"/>
    <mergeCell ref="C31:W31"/>
    <mergeCell ref="U36:V36"/>
    <mergeCell ref="C17:W17"/>
    <mergeCell ref="D21:V21"/>
    <mergeCell ref="D25:V25"/>
    <mergeCell ref="D29:V29"/>
    <mergeCell ref="D43:W43"/>
    <mergeCell ref="D35:W35"/>
    <mergeCell ref="H36:K36"/>
    <mergeCell ref="H37:K37"/>
    <mergeCell ref="Q36:R36"/>
    <mergeCell ref="H45:K45"/>
    <mergeCell ref="Q45:R45"/>
  </mergeCells>
  <dataValidations count="2">
    <dataValidation type="list" allowBlank="1" showInputMessage="1" showErrorMessage="1" sqref="Q45 W13 W15 W21 W25 W7 H45 H36:H38 Q36:Q38 W36 W9 W49 W29" xr:uid="{00000000-0002-0000-1D00-000000000000}">
      <formula1>$AD$3:$AD$4</formula1>
    </dataValidation>
    <dataValidation type="textLength" operator="equal" allowBlank="1" showInputMessage="1" showErrorMessage="1" error="Only enter 10-digit number, no dashes or spaces." sqref="S59:W59" xr:uid="{00000000-0002-0000-1D00-000001000000}">
      <formula1>10</formula1>
    </dataValidation>
  </dataValidations>
  <pageMargins left="0.75" right="0.5" top="0.5" bottom="0.75" header="0" footer="0.5"/>
  <pageSetup scale="79" firstPageNumber="6" orientation="portrait" r:id="rId1"/>
  <headerFooter alignWithMargins="0">
    <oddFooter>&amp;C&amp;A&amp;R&amp;D &amp;T</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pageSetUpPr fitToPage="1"/>
  </sheetPr>
  <dimension ref="A1:V50"/>
  <sheetViews>
    <sheetView zoomScaleNormal="100" workbookViewId="0"/>
  </sheetViews>
  <sheetFormatPr defaultColWidth="10.7109375" defaultRowHeight="15" customHeight="1"/>
  <cols>
    <col min="1" max="1" width="4.7109375" style="4" customWidth="1"/>
    <col min="2" max="4" width="2.7109375" style="4" customWidth="1"/>
    <col min="5" max="5" width="10.7109375" style="4" customWidth="1"/>
    <col min="6" max="8" width="6.7109375" style="4" customWidth="1"/>
    <col min="9" max="9" width="14.140625" style="4" customWidth="1"/>
    <col min="10" max="11" width="6.7109375" style="4" customWidth="1"/>
    <col min="12" max="12" width="32.7109375" style="4" customWidth="1"/>
    <col min="13" max="13" width="12.7109375" style="4" customWidth="1"/>
    <col min="14" max="15" width="10.7109375" style="4" customWidth="1"/>
    <col min="16" max="16" width="15.7109375" style="4" customWidth="1"/>
    <col min="17" max="17" width="5.7109375" style="6" customWidth="1"/>
    <col min="18" max="18" width="10.7109375" style="4" hidden="1" customWidth="1"/>
    <col min="19" max="19" width="13.5703125" style="4" hidden="1" customWidth="1"/>
    <col min="20" max="21" width="10.7109375" style="4" hidden="1" customWidth="1"/>
    <col min="22" max="22" width="5.7109375" style="6" customWidth="1"/>
    <col min="23" max="16384" width="10.7109375" style="4"/>
  </cols>
  <sheetData>
    <row r="1" spans="1:22" s="814" customFormat="1" ht="15" customHeight="1">
      <c r="A1" s="1302" t="str">
        <f>IF('FORM 1040-1'!D15="","",'FORM 1040-1'!D15)</f>
        <v/>
      </c>
      <c r="B1" s="1303"/>
      <c r="C1" s="1303"/>
      <c r="D1" s="1303"/>
      <c r="E1" s="1303"/>
      <c r="F1" s="1303"/>
      <c r="G1" s="1303"/>
      <c r="H1" s="1303"/>
      <c r="I1" s="1303"/>
      <c r="J1" s="1303"/>
      <c r="K1" s="1303"/>
      <c r="L1" s="1303"/>
      <c r="M1" s="1294" t="str">
        <f>IF('FORM 1040-1'!$E$12="","",'FORM 1040-1'!$E$12)</f>
        <v/>
      </c>
      <c r="N1" s="2072" t="s">
        <v>1621</v>
      </c>
      <c r="O1" s="2072"/>
      <c r="P1" s="2072"/>
      <c r="Q1" s="6"/>
      <c r="V1" s="6"/>
    </row>
    <row r="2" spans="1:22" s="814" customFormat="1" ht="12.75" customHeight="1">
      <c r="N2" s="2072"/>
      <c r="O2" s="2072"/>
      <c r="P2" s="2072"/>
      <c r="Q2" s="6"/>
      <c r="V2" s="6"/>
    </row>
    <row r="3" spans="1:22" ht="15" customHeight="1">
      <c r="A3" s="750" t="s">
        <v>21</v>
      </c>
      <c r="B3" s="85" t="s">
        <v>107</v>
      </c>
      <c r="C3" s="1593" t="s">
        <v>2465</v>
      </c>
      <c r="D3" s="1593"/>
      <c r="E3" s="1593"/>
      <c r="F3" s="1593"/>
      <c r="G3" s="1593"/>
      <c r="H3" s="1593"/>
      <c r="I3" s="1593"/>
      <c r="J3" s="1593"/>
      <c r="K3" s="1593"/>
      <c r="L3" s="1593"/>
      <c r="M3" s="1593"/>
      <c r="N3" s="2072"/>
      <c r="O3" s="2072"/>
      <c r="P3" s="2072"/>
      <c r="T3" s="22" t="b">
        <v>1</v>
      </c>
      <c r="U3" s="22" t="b">
        <v>1</v>
      </c>
    </row>
    <row r="4" spans="1:22" ht="12" customHeight="1" thickBot="1">
      <c r="N4" s="859"/>
      <c r="O4" s="424" t="s">
        <v>795</v>
      </c>
      <c r="P4" s="859"/>
      <c r="T4" s="22" t="b">
        <v>0</v>
      </c>
      <c r="U4" s="22" t="b">
        <v>0</v>
      </c>
    </row>
    <row r="5" spans="1:22" ht="39" customHeight="1" thickBot="1">
      <c r="C5" s="158">
        <v>1</v>
      </c>
      <c r="D5" s="1656" t="s">
        <v>2231</v>
      </c>
      <c r="E5" s="1656"/>
      <c r="F5" s="1656"/>
      <c r="G5" s="1656"/>
      <c r="H5" s="1656"/>
      <c r="I5" s="1656"/>
      <c r="J5" s="1656"/>
      <c r="K5" s="1656"/>
      <c r="L5" s="1656"/>
      <c r="M5" s="444"/>
      <c r="P5" s="157"/>
      <c r="Q5" s="449"/>
      <c r="R5" s="157"/>
      <c r="S5" s="157"/>
      <c r="T5" s="157"/>
      <c r="U5" s="460" t="s">
        <v>312</v>
      </c>
    </row>
    <row r="6" spans="1:22" ht="6" customHeight="1" thickTop="1" thickBot="1">
      <c r="T6" s="461">
        <v>0</v>
      </c>
    </row>
    <row r="7" spans="1:22" ht="39" customHeight="1" thickBot="1">
      <c r="C7" s="158">
        <v>2</v>
      </c>
      <c r="D7" s="1656" t="s">
        <v>2190</v>
      </c>
      <c r="E7" s="1656"/>
      <c r="F7" s="1656"/>
      <c r="G7" s="1656"/>
      <c r="H7" s="1656"/>
      <c r="I7" s="1656"/>
      <c r="J7" s="1656"/>
      <c r="K7" s="1656"/>
      <c r="L7" s="1656"/>
      <c r="M7" s="444"/>
      <c r="O7" s="425">
        <f>IF(AND(M5=TRUE,M7=TRUE),5,0)</f>
        <v>0</v>
      </c>
      <c r="P7" s="40"/>
      <c r="Q7" s="41"/>
      <c r="R7" s="20" t="str">
        <f>IF(M7="","",(M7))</f>
        <v/>
      </c>
      <c r="S7" s="157" t="s">
        <v>980</v>
      </c>
      <c r="T7" s="461">
        <v>0.05</v>
      </c>
    </row>
    <row r="8" spans="1:22" ht="6" customHeight="1" thickTop="1">
      <c r="T8" s="461">
        <v>0.1</v>
      </c>
    </row>
    <row r="9" spans="1:22" s="1371" customFormat="1" ht="26.1" customHeight="1">
      <c r="C9" s="206" t="s">
        <v>101</v>
      </c>
      <c r="D9" s="1736" t="s">
        <v>2637</v>
      </c>
      <c r="E9" s="1736"/>
      <c r="F9" s="1736"/>
      <c r="G9" s="1736"/>
      <c r="H9" s="1736"/>
      <c r="I9" s="1736"/>
      <c r="J9" s="1736"/>
      <c r="K9" s="1736"/>
      <c r="L9" s="1736"/>
      <c r="M9" s="1736"/>
      <c r="Q9" s="6"/>
      <c r="T9" s="461">
        <v>0.15</v>
      </c>
      <c r="V9" s="6"/>
    </row>
    <row r="10" spans="1:22" s="1371" customFormat="1" ht="6" customHeight="1">
      <c r="Q10" s="6"/>
      <c r="T10" s="461">
        <v>0.2</v>
      </c>
      <c r="V10" s="6"/>
    </row>
    <row r="11" spans="1:22" ht="26.1" customHeight="1">
      <c r="C11" s="206"/>
      <c r="D11" s="1736" t="s">
        <v>2638</v>
      </c>
      <c r="E11" s="1736"/>
      <c r="F11" s="1736"/>
      <c r="G11" s="1736"/>
      <c r="H11" s="1736"/>
      <c r="I11" s="1736"/>
      <c r="J11" s="1736"/>
      <c r="K11" s="1736"/>
      <c r="L11" s="1736"/>
      <c r="M11" s="1736"/>
      <c r="N11" s="202"/>
      <c r="P11" s="37"/>
      <c r="Q11" s="318"/>
      <c r="R11" s="37"/>
      <c r="T11" s="461">
        <v>0.25</v>
      </c>
    </row>
    <row r="12" spans="1:22" s="1397" customFormat="1" ht="6" customHeight="1">
      <c r="B12" s="1406"/>
      <c r="C12" s="1401"/>
      <c r="D12" s="1401"/>
      <c r="E12" s="1401"/>
      <c r="F12" s="1401"/>
      <c r="G12" s="1401"/>
      <c r="H12" s="1401"/>
      <c r="I12" s="1401"/>
      <c r="J12" s="1401"/>
      <c r="K12" s="1401"/>
      <c r="L12" s="1401"/>
      <c r="M12" s="1401"/>
      <c r="N12" s="1399"/>
      <c r="P12" s="1401"/>
      <c r="Q12" s="318"/>
      <c r="R12" s="1401"/>
      <c r="V12" s="6"/>
    </row>
    <row r="13" spans="1:22" s="1397" customFormat="1" ht="26.1" customHeight="1">
      <c r="B13" s="1406"/>
      <c r="C13" s="206"/>
      <c r="D13" s="1736" t="s">
        <v>2884</v>
      </c>
      <c r="E13" s="1736"/>
      <c r="F13" s="1736"/>
      <c r="G13" s="1736"/>
      <c r="H13" s="1736"/>
      <c r="I13" s="1736"/>
      <c r="J13" s="1736"/>
      <c r="K13" s="1736"/>
      <c r="L13" s="1736"/>
      <c r="M13" s="1736"/>
      <c r="N13" s="1399"/>
      <c r="P13" s="1401"/>
      <c r="Q13" s="318"/>
      <c r="R13" s="1401"/>
      <c r="V13" s="6"/>
    </row>
    <row r="14" spans="1:22" s="1397" customFormat="1" ht="15" customHeight="1">
      <c r="B14" s="1406"/>
      <c r="C14" s="1401"/>
      <c r="D14" s="1401"/>
      <c r="E14" s="1401"/>
      <c r="F14" s="1401"/>
      <c r="G14" s="1401"/>
      <c r="H14" s="1401"/>
      <c r="I14" s="1401"/>
      <c r="J14" s="1401"/>
      <c r="K14" s="1401"/>
      <c r="L14" s="1401"/>
      <c r="M14" s="1401"/>
      <c r="N14" s="1399"/>
      <c r="P14" s="1401"/>
      <c r="Q14" s="318"/>
      <c r="R14" s="1401"/>
      <c r="V14" s="6"/>
    </row>
    <row r="15" spans="1:22" s="1397" customFormat="1" ht="15" customHeight="1">
      <c r="A15" s="4"/>
      <c r="B15" s="85" t="s">
        <v>109</v>
      </c>
      <c r="C15" s="1694" t="s">
        <v>1914</v>
      </c>
      <c r="D15" s="1694"/>
      <c r="E15" s="1694"/>
      <c r="F15" s="1694"/>
      <c r="G15" s="1694"/>
      <c r="H15" s="1694"/>
      <c r="I15" s="1694"/>
      <c r="J15" s="1694"/>
      <c r="K15" s="1694"/>
      <c r="L15" s="1694"/>
      <c r="M15" s="1694"/>
      <c r="N15" s="1399"/>
      <c r="P15" s="1401"/>
      <c r="Q15" s="318"/>
      <c r="R15" s="1401"/>
      <c r="V15" s="6"/>
    </row>
    <row r="16" spans="1:22" ht="12" customHeight="1">
      <c r="C16" s="202"/>
      <c r="D16" s="202"/>
      <c r="E16" s="202"/>
      <c r="F16" s="202"/>
      <c r="G16" s="202"/>
      <c r="H16" s="202"/>
      <c r="I16" s="202"/>
      <c r="J16" s="202"/>
      <c r="K16" s="202"/>
      <c r="L16" s="202"/>
      <c r="N16" s="202"/>
    </row>
    <row r="17" spans="2:22" ht="15" customHeight="1" thickBot="1">
      <c r="C17" s="132">
        <v>1</v>
      </c>
      <c r="D17" s="1656" t="s">
        <v>2805</v>
      </c>
      <c r="E17" s="1656"/>
      <c r="F17" s="1656"/>
      <c r="G17" s="1656"/>
      <c r="H17" s="1656"/>
      <c r="I17" s="1656"/>
      <c r="J17" s="1656"/>
      <c r="K17" s="1656"/>
      <c r="L17" s="1656"/>
      <c r="M17" s="427"/>
      <c r="N17" s="157"/>
      <c r="O17" s="157"/>
      <c r="P17" s="157"/>
      <c r="Q17" s="449"/>
      <c r="R17" s="157"/>
    </row>
    <row r="18" spans="2:22" ht="6" customHeight="1" thickTop="1">
      <c r="E18" s="202"/>
      <c r="F18" s="202"/>
      <c r="G18" s="202"/>
      <c r="H18" s="202"/>
      <c r="I18" s="202"/>
      <c r="J18" s="202"/>
      <c r="K18" s="202"/>
      <c r="L18" s="202"/>
      <c r="M18" s="202"/>
      <c r="N18" s="202"/>
      <c r="T18" s="87"/>
    </row>
    <row r="19" spans="2:22" ht="26.1" customHeight="1" thickBot="1">
      <c r="C19" s="158">
        <v>2</v>
      </c>
      <c r="D19" s="1656" t="s">
        <v>1789</v>
      </c>
      <c r="E19" s="1656"/>
      <c r="F19" s="1656"/>
      <c r="G19" s="1656"/>
      <c r="H19" s="1656"/>
      <c r="I19" s="1656"/>
      <c r="J19" s="1656"/>
      <c r="K19" s="1656"/>
      <c r="L19" s="1656"/>
      <c r="M19" s="1561"/>
      <c r="N19" s="8"/>
      <c r="P19" s="157"/>
      <c r="Q19" s="449"/>
      <c r="R19" s="157"/>
      <c r="T19" s="87"/>
    </row>
    <row r="20" spans="2:22" ht="6" customHeight="1" thickTop="1">
      <c r="T20" s="87"/>
    </row>
    <row r="21" spans="2:22" s="758" customFormat="1" ht="15" customHeight="1" thickBot="1">
      <c r="C21" s="132">
        <v>3</v>
      </c>
      <c r="D21" s="1656" t="s">
        <v>2191</v>
      </c>
      <c r="E21" s="1656"/>
      <c r="F21" s="1656"/>
      <c r="G21" s="1656"/>
      <c r="H21" s="1656"/>
      <c r="I21" s="1656"/>
      <c r="J21" s="1656"/>
      <c r="K21" s="1656"/>
      <c r="L21" s="1656"/>
      <c r="M21" s="1561"/>
      <c r="N21" s="8"/>
      <c r="P21" s="759"/>
      <c r="Q21" s="449"/>
      <c r="R21" s="759"/>
      <c r="T21" s="87"/>
      <c r="V21" s="6"/>
    </row>
    <row r="22" spans="2:22" s="758" customFormat="1" ht="6" customHeight="1" thickTop="1" thickBot="1">
      <c r="Q22" s="6"/>
      <c r="T22" s="87"/>
      <c r="V22" s="6"/>
    </row>
    <row r="23" spans="2:22" ht="26.1" customHeight="1" thickBot="1">
      <c r="C23" s="158">
        <v>4</v>
      </c>
      <c r="D23" s="1656" t="s">
        <v>2806</v>
      </c>
      <c r="E23" s="1656"/>
      <c r="F23" s="1656"/>
      <c r="G23" s="1656"/>
      <c r="H23" s="1656"/>
      <c r="I23" s="1656"/>
      <c r="J23" s="1656"/>
      <c r="K23" s="1656"/>
      <c r="L23" s="1656"/>
      <c r="M23" s="1561"/>
      <c r="O23" s="425">
        <f>IF(AND(M17=TRUE,M19=TRUE,M21=TRUE,M23=TRUE),20,0)</f>
        <v>0</v>
      </c>
      <c r="Q23" s="318"/>
      <c r="R23" s="37"/>
      <c r="T23" s="87"/>
    </row>
    <row r="24" spans="2:22" ht="6" customHeight="1" thickTop="1">
      <c r="T24" s="87"/>
    </row>
    <row r="25" spans="2:22" ht="15" customHeight="1">
      <c r="B25" s="85" t="s">
        <v>42</v>
      </c>
      <c r="C25" s="1593" t="s">
        <v>809</v>
      </c>
      <c r="D25" s="1593"/>
      <c r="E25" s="1593"/>
      <c r="F25" s="1593"/>
      <c r="G25" s="1593"/>
      <c r="H25" s="1593"/>
      <c r="I25" s="1593"/>
      <c r="J25" s="1593"/>
      <c r="K25" s="1593"/>
      <c r="L25" s="1593"/>
      <c r="M25" s="1593"/>
      <c r="N25" s="37"/>
      <c r="O25" s="37"/>
      <c r="P25" s="37"/>
      <c r="Q25" s="449"/>
      <c r="R25" s="157"/>
      <c r="T25" s="87"/>
    </row>
    <row r="26" spans="2:22" ht="12" customHeight="1">
      <c r="T26" s="87"/>
    </row>
    <row r="27" spans="2:22" s="758" customFormat="1" ht="15" customHeight="1">
      <c r="C27" s="132">
        <v>1</v>
      </c>
      <c r="D27" s="1603" t="s">
        <v>2852</v>
      </c>
      <c r="E27" s="1603"/>
      <c r="F27" s="1603"/>
      <c r="G27" s="1603"/>
      <c r="H27" s="1603"/>
      <c r="I27" s="1603"/>
      <c r="J27" s="1603"/>
      <c r="K27" s="1603"/>
      <c r="L27" s="1603"/>
      <c r="M27" s="1603"/>
      <c r="Q27" s="6"/>
      <c r="T27" s="87"/>
      <c r="V27" s="6"/>
    </row>
    <row r="28" spans="2:22" s="758" customFormat="1" ht="6" customHeight="1" thickBot="1">
      <c r="Q28" s="6"/>
      <c r="T28" s="87"/>
      <c r="V28" s="6"/>
    </row>
    <row r="29" spans="2:22" ht="26.1" customHeight="1" thickBot="1">
      <c r="C29" s="158"/>
      <c r="D29" s="1656" t="s">
        <v>810</v>
      </c>
      <c r="E29" s="1656"/>
      <c r="F29" s="1656"/>
      <c r="G29" s="1656"/>
      <c r="H29" s="1656"/>
      <c r="I29" s="1656"/>
      <c r="J29" s="1656"/>
      <c r="K29" s="1656"/>
      <c r="L29" s="1656"/>
      <c r="M29" s="462"/>
      <c r="N29" s="157"/>
      <c r="O29" s="425">
        <f>IF(M29="",0,IF(M29=0%,0,IF(M29=5%,10,IF(M29=10%,20,IF(M29=15%,30,IF(M29=20%,40,IF(M29=25%,50)))))))</f>
        <v>0</v>
      </c>
      <c r="P29" s="2111" t="str">
        <f>IF(AND(O29&gt;0,O35&gt;0),"ERROR: ONLY TARGET AT 40% OR 50%, NOT BOTH","")</f>
        <v/>
      </c>
      <c r="Q29" s="449"/>
      <c r="R29" s="448">
        <f>MAX(O29,O35)</f>
        <v>0</v>
      </c>
      <c r="S29" s="157" t="s">
        <v>940</v>
      </c>
      <c r="T29" s="87"/>
    </row>
    <row r="30" spans="2:22" s="758" customFormat="1" ht="6" customHeight="1" thickTop="1">
      <c r="C30" s="158"/>
      <c r="D30" s="749"/>
      <c r="E30" s="749"/>
      <c r="F30" s="749"/>
      <c r="G30" s="749"/>
      <c r="H30" s="749"/>
      <c r="I30" s="522"/>
      <c r="J30" s="522"/>
      <c r="K30" s="522"/>
      <c r="L30" s="522"/>
      <c r="M30" s="779"/>
      <c r="N30" s="744"/>
      <c r="O30" s="756"/>
      <c r="P30" s="2111"/>
      <c r="Q30" s="449"/>
      <c r="R30" s="448"/>
      <c r="S30" s="759"/>
      <c r="T30" s="87"/>
      <c r="V30" s="6"/>
    </row>
    <row r="31" spans="2:22" ht="15" customHeight="1">
      <c r="D31" s="2114" t="s">
        <v>798</v>
      </c>
      <c r="E31" s="2114"/>
      <c r="F31" s="2114"/>
      <c r="G31" s="2114"/>
      <c r="H31" s="2114"/>
      <c r="I31" s="2114"/>
      <c r="J31" s="2114"/>
      <c r="K31" s="2114"/>
      <c r="L31" s="2114"/>
      <c r="O31" s="452" t="s">
        <v>798</v>
      </c>
      <c r="P31" s="2111"/>
      <c r="T31" s="87"/>
    </row>
    <row r="32" spans="2:22" s="758" customFormat="1" ht="6" customHeight="1">
      <c r="D32" s="776"/>
      <c r="E32" s="776"/>
      <c r="F32" s="776"/>
      <c r="G32" s="776"/>
      <c r="H32" s="776"/>
      <c r="I32" s="776"/>
      <c r="J32" s="776"/>
      <c r="K32" s="776"/>
      <c r="L32" s="776"/>
      <c r="M32" s="39"/>
      <c r="N32" s="39"/>
      <c r="O32" s="436"/>
      <c r="P32" s="2111"/>
      <c r="Q32" s="6"/>
      <c r="T32" s="87"/>
      <c r="V32" s="6"/>
    </row>
    <row r="33" spans="1:22" s="758" customFormat="1" ht="15" customHeight="1">
      <c r="C33" s="132">
        <v>2</v>
      </c>
      <c r="D33" s="1603" t="s">
        <v>2853</v>
      </c>
      <c r="E33" s="1603"/>
      <c r="F33" s="1603"/>
      <c r="G33" s="1603"/>
      <c r="H33" s="1603"/>
      <c r="I33" s="1603"/>
      <c r="J33" s="1603"/>
      <c r="K33" s="1603"/>
      <c r="L33" s="1603"/>
      <c r="M33" s="1603"/>
      <c r="N33" s="39"/>
      <c r="O33" s="436"/>
      <c r="P33" s="2111"/>
      <c r="Q33" s="6"/>
      <c r="T33" s="87"/>
      <c r="V33" s="6"/>
    </row>
    <row r="34" spans="1:22" s="758" customFormat="1" ht="6" customHeight="1" thickBot="1">
      <c r="C34" s="132"/>
      <c r="N34" s="39"/>
      <c r="O34" s="436"/>
      <c r="P34" s="2111"/>
      <c r="Q34" s="6"/>
      <c r="T34" s="87"/>
      <c r="V34" s="6"/>
    </row>
    <row r="35" spans="1:22" ht="26.1" customHeight="1" thickBot="1">
      <c r="C35" s="158"/>
      <c r="D35" s="1656" t="s">
        <v>811</v>
      </c>
      <c r="E35" s="1656"/>
      <c r="F35" s="1656"/>
      <c r="G35" s="1656"/>
      <c r="H35" s="1656"/>
      <c r="I35" s="1656"/>
      <c r="J35" s="1656"/>
      <c r="K35" s="1656"/>
      <c r="L35" s="1656"/>
      <c r="M35" s="462"/>
      <c r="N35" s="157"/>
      <c r="O35" s="425">
        <f>IF(M35="",0,IF(M35=0%,0,IF(M35=5%,8,IF(M35=10%,16,IF(M35=15%,24,IF(M35=20%,32,IF(M35=25%,40)))))))</f>
        <v>0</v>
      </c>
      <c r="P35" s="2111"/>
      <c r="Q35" s="318"/>
      <c r="R35" s="37"/>
      <c r="T35" s="87"/>
    </row>
    <row r="36" spans="1:22" ht="6" customHeight="1" thickTop="1">
      <c r="T36" s="87"/>
    </row>
    <row r="37" spans="1:22" ht="15" customHeight="1">
      <c r="B37" s="85" t="s">
        <v>110</v>
      </c>
      <c r="C37" s="1593" t="s">
        <v>1790</v>
      </c>
      <c r="D37" s="1593"/>
      <c r="E37" s="1593"/>
      <c r="F37" s="1593"/>
      <c r="G37" s="1593"/>
      <c r="H37" s="1593"/>
      <c r="I37" s="1593"/>
      <c r="J37" s="1593"/>
      <c r="K37" s="1593"/>
      <c r="L37" s="1593"/>
      <c r="M37" s="1593"/>
      <c r="N37" s="37"/>
      <c r="O37" s="37"/>
      <c r="P37" s="37"/>
      <c r="Q37" s="449"/>
      <c r="R37" s="1508">
        <v>30</v>
      </c>
      <c r="S37" s="157" t="s">
        <v>909</v>
      </c>
      <c r="T37" s="87"/>
    </row>
    <row r="38" spans="1:22" ht="12" customHeight="1" thickBot="1">
      <c r="T38" s="87"/>
    </row>
    <row r="39" spans="1:22" ht="26.1" customHeight="1" thickBot="1">
      <c r="C39" s="1656" t="s">
        <v>1791</v>
      </c>
      <c r="D39" s="1656"/>
      <c r="E39" s="1656"/>
      <c r="F39" s="1656"/>
      <c r="G39" s="1656"/>
      <c r="H39" s="1656"/>
      <c r="I39" s="1656"/>
      <c r="J39" s="1656"/>
      <c r="K39" s="1656"/>
      <c r="L39" s="1656"/>
      <c r="M39" s="762"/>
      <c r="N39" s="157"/>
      <c r="O39" s="425">
        <f>IF('FORM 1040-19'!M5=TRUE,0,IF(M39=TRUE,150,0))</f>
        <v>0</v>
      </c>
      <c r="P39" s="157"/>
      <c r="T39" s="87"/>
    </row>
    <row r="40" spans="1:22" ht="6" customHeight="1" thickTop="1">
      <c r="T40" s="87"/>
    </row>
    <row r="41" spans="1:22" ht="15" customHeight="1">
      <c r="B41" s="85" t="s">
        <v>111</v>
      </c>
      <c r="C41" s="1593" t="s">
        <v>2807</v>
      </c>
      <c r="D41" s="1593"/>
      <c r="E41" s="1593"/>
      <c r="F41" s="1593"/>
      <c r="G41" s="1593"/>
      <c r="H41" s="1593"/>
      <c r="I41" s="1593"/>
      <c r="J41" s="1593"/>
      <c r="K41" s="1593"/>
      <c r="L41" s="1593"/>
      <c r="M41" s="1593"/>
      <c r="T41" s="87"/>
    </row>
    <row r="42" spans="1:22" ht="14.1" customHeight="1" thickBot="1">
      <c r="O42" s="40"/>
    </row>
    <row r="43" spans="1:22" ht="39" customHeight="1" thickBot="1">
      <c r="C43" s="1656" t="s">
        <v>2217</v>
      </c>
      <c r="D43" s="1656"/>
      <c r="E43" s="1656"/>
      <c r="F43" s="1656"/>
      <c r="G43" s="1656"/>
      <c r="H43" s="1656"/>
      <c r="I43" s="1656"/>
      <c r="J43" s="1656"/>
      <c r="K43" s="1656"/>
      <c r="L43" s="1656"/>
      <c r="M43" s="444"/>
      <c r="N43" s="37"/>
      <c r="O43" s="425">
        <f>IF(M43=TRUE,40,0)</f>
        <v>0</v>
      </c>
      <c r="Q43" s="463"/>
      <c r="R43" s="464"/>
    </row>
    <row r="44" spans="1:22" ht="15" customHeight="1" thickTop="1">
      <c r="O44" s="40"/>
    </row>
    <row r="45" spans="1:22" ht="15" customHeight="1">
      <c r="A45" s="8"/>
      <c r="B45" s="8"/>
      <c r="C45" s="426"/>
      <c r="D45" s="172"/>
      <c r="E45" s="172"/>
      <c r="F45" s="172"/>
      <c r="G45" s="172"/>
      <c r="H45" s="172"/>
      <c r="I45" s="172"/>
      <c r="J45" s="172"/>
      <c r="K45" s="172"/>
      <c r="L45" s="172"/>
      <c r="M45" s="172"/>
      <c r="N45" s="157"/>
      <c r="O45" s="157"/>
      <c r="P45" s="464"/>
    </row>
    <row r="46" spans="1:22" ht="15" customHeight="1">
      <c r="A46" s="8"/>
      <c r="B46" s="8"/>
      <c r="C46" s="8"/>
      <c r="D46" s="26"/>
      <c r="E46" s="26"/>
      <c r="F46" s="26"/>
      <c r="G46" s="26"/>
      <c r="H46" s="26"/>
      <c r="I46" s="21"/>
      <c r="J46" s="26"/>
      <c r="K46" s="26"/>
      <c r="L46" s="26"/>
      <c r="M46" s="8"/>
    </row>
    <row r="50" spans="1:13" ht="15" customHeight="1">
      <c r="A50" s="1653" t="s">
        <v>1792</v>
      </c>
      <c r="B50" s="1653"/>
      <c r="C50" s="1653"/>
      <c r="D50" s="1653"/>
      <c r="E50" s="1653"/>
      <c r="F50" s="1653"/>
      <c r="G50" s="1653"/>
      <c r="H50" s="1653"/>
      <c r="I50" s="1653"/>
      <c r="J50" s="1653"/>
      <c r="K50" s="1653"/>
      <c r="L50" s="1653"/>
      <c r="M50" s="1653"/>
    </row>
  </sheetData>
  <sheetProtection algorithmName="SHA-512" hashValue="RmZ3k+B0EMLka2lXxU/i7JI3LrP90uWOMui7giTMd5J9ZrwQMw6l2tNLIvn+zyv1rN/NA+7SURqpxjJOmOLdpg==" saltValue="sphUtZrzBTqEEERKVYQ1Ig==" spinCount="100000" sheet="1" objects="1" scenarios="1"/>
  <dataConsolidate/>
  <mergeCells count="24">
    <mergeCell ref="D11:M11"/>
    <mergeCell ref="D13:M13"/>
    <mergeCell ref="D9:M9"/>
    <mergeCell ref="N1:P3"/>
    <mergeCell ref="D33:M33"/>
    <mergeCell ref="C3:M3"/>
    <mergeCell ref="D5:L5"/>
    <mergeCell ref="D7:L7"/>
    <mergeCell ref="C15:M15"/>
    <mergeCell ref="D27:M27"/>
    <mergeCell ref="C25:M25"/>
    <mergeCell ref="D17:L17"/>
    <mergeCell ref="D19:L19"/>
    <mergeCell ref="D21:L21"/>
    <mergeCell ref="D23:L23"/>
    <mergeCell ref="A50:M50"/>
    <mergeCell ref="P29:P35"/>
    <mergeCell ref="C41:M41"/>
    <mergeCell ref="C43:L43"/>
    <mergeCell ref="D35:L35"/>
    <mergeCell ref="C37:M37"/>
    <mergeCell ref="C39:L39"/>
    <mergeCell ref="D29:L29"/>
    <mergeCell ref="D31:L31"/>
  </mergeCells>
  <dataValidations count="3">
    <dataValidation type="list" allowBlank="1" showInputMessage="1" showErrorMessage="1" sqref="M43 M39 M17 M5 M7 M19 M21 M23" xr:uid="{00000000-0002-0000-1E00-000000000000}">
      <formula1>$T$3:$T$4</formula1>
    </dataValidation>
    <dataValidation type="list" allowBlank="1" showInputMessage="1" showErrorMessage="1" sqref="M29:M30 M35" xr:uid="{00000000-0002-0000-1E00-000001000000}">
      <formula1>$T$6:$T$11</formula1>
    </dataValidation>
    <dataValidation type="list" errorStyle="warning" showInputMessage="1" showErrorMessage="1" errorTitle="SmartDox" error="The value you entered for the dropdown is not valid." sqref="R37" xr:uid="{29CD2213-69D2-4A00-A81B-0C0E5A4AF084}">
      <formula1>SD_D_PL_ExtendedUseRestriction_Name</formula1>
    </dataValidation>
  </dataValidations>
  <pageMargins left="0.75" right="0.5" top="0.5" bottom="0.75" header="0" footer="0.5"/>
  <pageSetup scale="80" firstPageNumber="11" orientation="portrait" r:id="rId1"/>
  <headerFooter alignWithMargins="0">
    <oddFooter>&amp;C&amp;A&amp;R&amp;D &amp;T</oddFooter>
  </headerFooter>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8">
    <pageSetUpPr fitToPage="1"/>
  </sheetPr>
  <dimension ref="A1:AC41"/>
  <sheetViews>
    <sheetView workbookViewId="0"/>
  </sheetViews>
  <sheetFormatPr defaultColWidth="8.85546875" defaultRowHeight="12.75"/>
  <cols>
    <col min="1" max="1" width="4.7109375" style="542" customWidth="1"/>
    <col min="2" max="6" width="2.7109375" style="542" customWidth="1"/>
    <col min="7" max="7" width="4.7109375" style="542" customWidth="1"/>
    <col min="8" max="8" width="2.7109375" style="542" customWidth="1"/>
    <col min="9" max="9" width="4.7109375" style="542" customWidth="1"/>
    <col min="10" max="10" width="2.7109375" style="542" customWidth="1"/>
    <col min="11" max="11" width="4.7109375" style="542" customWidth="1"/>
    <col min="12" max="12" width="2.7109375" style="542" customWidth="1"/>
    <col min="13" max="13" width="7.85546875" style="542" customWidth="1"/>
    <col min="14" max="14" width="13.7109375" style="542" customWidth="1"/>
    <col min="15" max="15" width="10.7109375" style="542" customWidth="1"/>
    <col min="16" max="16" width="5" style="542" customWidth="1"/>
    <col min="17" max="17" width="12.7109375" style="542" customWidth="1"/>
    <col min="18" max="18" width="1.7109375" style="542" customWidth="1"/>
    <col min="19" max="19" width="12.7109375" style="542" customWidth="1"/>
    <col min="20" max="20" width="1.7109375" style="542" customWidth="1"/>
    <col min="21" max="21" width="10.28515625" style="542" customWidth="1"/>
    <col min="22" max="24" width="10.7109375" style="542" customWidth="1"/>
    <col min="25" max="25" width="5.7109375" style="543" customWidth="1"/>
    <col min="26" max="28" width="10.7109375" style="542" hidden="1" customWidth="1"/>
    <col min="29" max="29" width="5.7109375" style="543" customWidth="1"/>
    <col min="30" max="16384" width="8.85546875" style="542"/>
  </cols>
  <sheetData>
    <row r="1" spans="1:28">
      <c r="A1" s="1302" t="str">
        <f>IF('FORM 1040-1'!D15="","",'FORM 1040-1'!D15)</f>
        <v/>
      </c>
      <c r="B1" s="1308"/>
      <c r="C1" s="1308"/>
      <c r="D1" s="1308"/>
      <c r="E1" s="1308"/>
      <c r="F1" s="1308"/>
      <c r="G1" s="1308"/>
      <c r="H1" s="1308"/>
      <c r="I1" s="1308"/>
      <c r="J1" s="1308"/>
      <c r="K1" s="1308"/>
      <c r="L1" s="1308"/>
      <c r="M1" s="1308"/>
      <c r="N1" s="1308"/>
      <c r="O1" s="1308"/>
      <c r="P1" s="1308"/>
      <c r="Q1" s="1308"/>
      <c r="R1" s="1308"/>
      <c r="S1" s="1308"/>
      <c r="T1" s="1308"/>
      <c r="U1" s="1294" t="str">
        <f>IF('FORM 1040-1'!$E$12="","",'FORM 1040-1'!$E$12)</f>
        <v/>
      </c>
      <c r="V1" s="2127" t="s">
        <v>1621</v>
      </c>
      <c r="W1" s="2127"/>
      <c r="X1" s="2127"/>
    </row>
    <row r="2" spans="1:28">
      <c r="V2" s="2127"/>
      <c r="W2" s="2127"/>
      <c r="X2" s="2127"/>
    </row>
    <row r="3" spans="1:28" ht="15" customHeight="1">
      <c r="A3" s="12" t="s">
        <v>21</v>
      </c>
      <c r="B3" s="85" t="s">
        <v>112</v>
      </c>
      <c r="C3" s="1593" t="s">
        <v>2808</v>
      </c>
      <c r="D3" s="1593"/>
      <c r="E3" s="1593"/>
      <c r="F3" s="1593"/>
      <c r="G3" s="1593"/>
      <c r="H3" s="1593"/>
      <c r="I3" s="1593"/>
      <c r="J3" s="1593"/>
      <c r="K3" s="1593"/>
      <c r="L3" s="1593"/>
      <c r="M3" s="1593"/>
      <c r="N3" s="1593"/>
      <c r="O3" s="1593"/>
      <c r="P3" s="1593"/>
      <c r="Q3" s="1593"/>
      <c r="R3" s="1593"/>
      <c r="S3" s="1593"/>
      <c r="T3" s="1593"/>
      <c r="U3" s="1593"/>
      <c r="V3" s="2127"/>
      <c r="W3" s="2127"/>
      <c r="X3" s="2127"/>
      <c r="Y3" s="6"/>
      <c r="Z3" s="4"/>
      <c r="AA3" s="22" t="b">
        <v>1</v>
      </c>
      <c r="AB3" s="22" t="b">
        <v>1</v>
      </c>
    </row>
    <row r="4" spans="1:28" ht="12" customHeight="1">
      <c r="G4" s="544"/>
      <c r="I4" s="544"/>
      <c r="K4" s="544"/>
      <c r="L4" s="544"/>
      <c r="N4" s="544"/>
      <c r="O4" s="544"/>
      <c r="V4" s="2127"/>
      <c r="W4" s="2127"/>
      <c r="X4" s="2127"/>
      <c r="Y4" s="6"/>
      <c r="Z4" s="4"/>
      <c r="AA4" s="22" t="b">
        <v>0</v>
      </c>
      <c r="AB4" s="22" t="b">
        <v>0</v>
      </c>
    </row>
    <row r="5" spans="1:28" ht="39" customHeight="1">
      <c r="B5" s="266"/>
      <c r="C5" s="2130" t="s">
        <v>2458</v>
      </c>
      <c r="D5" s="2130"/>
      <c r="E5" s="2130"/>
      <c r="F5" s="2130"/>
      <c r="G5" s="2130"/>
      <c r="H5" s="2130"/>
      <c r="I5" s="2130"/>
      <c r="J5" s="2130"/>
      <c r="K5" s="2130"/>
      <c r="L5" s="2130"/>
      <c r="M5" s="2130"/>
      <c r="N5" s="2130"/>
      <c r="O5" s="2130"/>
      <c r="P5" s="2130"/>
      <c r="Q5" s="2130"/>
      <c r="R5" s="2130"/>
      <c r="S5" s="2130"/>
      <c r="T5" s="2130"/>
      <c r="U5" s="2130"/>
      <c r="V5" s="2127"/>
      <c r="W5" s="2127"/>
      <c r="X5" s="2127"/>
      <c r="AB5" s="780" t="s">
        <v>312</v>
      </c>
    </row>
    <row r="6" spans="1:28" ht="12" customHeight="1">
      <c r="B6" s="542" t="s">
        <v>41</v>
      </c>
      <c r="D6" s="542" t="s">
        <v>41</v>
      </c>
      <c r="O6" s="526"/>
      <c r="P6" s="528"/>
      <c r="Q6" s="528"/>
      <c r="R6" s="528"/>
      <c r="S6" s="528"/>
      <c r="T6" s="528"/>
      <c r="U6" s="528"/>
    </row>
    <row r="7" spans="1:28" ht="14.1" customHeight="1" thickBot="1">
      <c r="C7" s="2131" t="s">
        <v>298</v>
      </c>
      <c r="D7" s="2131"/>
      <c r="E7" s="2131"/>
      <c r="F7" s="2131"/>
      <c r="G7" s="2131"/>
      <c r="H7" s="2131"/>
      <c r="I7" s="2132"/>
      <c r="J7" s="2132"/>
      <c r="K7" s="2132"/>
      <c r="L7" s="2132"/>
      <c r="M7" s="2132"/>
      <c r="N7" s="2132"/>
      <c r="O7" s="2132"/>
      <c r="P7" s="2132"/>
      <c r="Q7" s="2132"/>
      <c r="R7" s="2132"/>
      <c r="S7" s="2132"/>
      <c r="T7" s="2132"/>
      <c r="U7" s="2132"/>
    </row>
    <row r="8" spans="1:28" ht="6" customHeight="1" thickTop="1">
      <c r="G8" s="528"/>
      <c r="H8" s="528"/>
      <c r="I8" s="528"/>
      <c r="J8" s="528"/>
      <c r="K8" s="528"/>
      <c r="L8" s="528"/>
      <c r="M8" s="528"/>
      <c r="N8" s="528"/>
      <c r="O8" s="528"/>
      <c r="P8" s="528"/>
    </row>
    <row r="9" spans="1:28" ht="12" customHeight="1" thickBot="1">
      <c r="G9" s="528"/>
      <c r="H9" s="528"/>
      <c r="I9" s="528"/>
      <c r="J9" s="528"/>
      <c r="K9" s="528"/>
      <c r="L9" s="528"/>
      <c r="M9" s="528"/>
      <c r="N9" s="528"/>
      <c r="O9" s="528"/>
      <c r="P9" s="528"/>
      <c r="Q9" s="526"/>
      <c r="R9" s="526"/>
      <c r="S9" s="526"/>
      <c r="T9" s="526"/>
      <c r="U9" s="526" t="s">
        <v>812</v>
      </c>
      <c r="W9" s="424" t="s">
        <v>795</v>
      </c>
    </row>
    <row r="10" spans="1:28" ht="92.1" customHeight="1" thickBot="1">
      <c r="C10" s="1656" t="s">
        <v>2639</v>
      </c>
      <c r="D10" s="1656"/>
      <c r="E10" s="1656"/>
      <c r="F10" s="1656"/>
      <c r="G10" s="1656"/>
      <c r="H10" s="1656"/>
      <c r="I10" s="1656"/>
      <c r="J10" s="1656"/>
      <c r="K10" s="1656"/>
      <c r="L10" s="1656"/>
      <c r="M10" s="1656"/>
      <c r="N10" s="1656"/>
      <c r="O10" s="1656"/>
      <c r="P10" s="1656"/>
      <c r="Q10" s="1656"/>
      <c r="R10" s="445"/>
      <c r="S10" s="444"/>
      <c r="T10" s="157"/>
      <c r="U10" s="2123" t="s">
        <v>1796</v>
      </c>
      <c r="V10" s="157"/>
      <c r="W10" s="157"/>
    </row>
    <row r="11" spans="1:28" ht="6" customHeight="1" thickTop="1">
      <c r="G11" s="528"/>
      <c r="H11" s="528"/>
      <c r="I11" s="528"/>
      <c r="J11" s="528"/>
      <c r="K11" s="528"/>
      <c r="L11" s="528"/>
      <c r="M11" s="528"/>
      <c r="N11" s="528"/>
      <c r="O11" s="528"/>
      <c r="P11" s="528"/>
      <c r="U11" s="2124"/>
    </row>
    <row r="12" spans="1:28" ht="27" customHeight="1" thickBot="1">
      <c r="C12" s="1656" t="s">
        <v>1510</v>
      </c>
      <c r="D12" s="1656"/>
      <c r="E12" s="1656"/>
      <c r="F12" s="1656"/>
      <c r="G12" s="1656"/>
      <c r="H12" s="1656"/>
      <c r="I12" s="1656"/>
      <c r="J12" s="1656"/>
      <c r="K12" s="1656"/>
      <c r="L12" s="1656"/>
      <c r="M12" s="1656"/>
      <c r="N12" s="1656"/>
      <c r="O12" s="1656"/>
      <c r="P12" s="1656"/>
      <c r="Q12" s="1656"/>
      <c r="R12" s="445"/>
      <c r="S12" s="762"/>
      <c r="T12" s="157"/>
      <c r="U12" s="2128"/>
      <c r="V12" s="157"/>
      <c r="W12" s="157"/>
    </row>
    <row r="13" spans="1:28" ht="6" customHeight="1" thickTop="1">
      <c r="G13" s="528"/>
      <c r="H13" s="528"/>
      <c r="I13" s="528"/>
      <c r="J13" s="528"/>
      <c r="K13" s="528"/>
      <c r="L13" s="528"/>
      <c r="M13" s="528"/>
      <c r="N13" s="528"/>
      <c r="O13" s="528"/>
      <c r="P13" s="528"/>
    </row>
    <row r="14" spans="1:28" ht="15" customHeight="1">
      <c r="A14" s="526"/>
      <c r="C14" s="132">
        <v>1</v>
      </c>
      <c r="D14" s="2120" t="s">
        <v>1793</v>
      </c>
      <c r="E14" s="2120"/>
      <c r="F14" s="2120"/>
      <c r="G14" s="2120"/>
      <c r="H14" s="2120"/>
      <c r="I14" s="2120"/>
      <c r="J14" s="2120"/>
      <c r="K14" s="2120"/>
      <c r="L14" s="2120"/>
      <c r="M14" s="2120"/>
      <c r="N14" s="2120"/>
      <c r="O14" s="2120"/>
      <c r="P14" s="2120"/>
      <c r="Q14" s="2120"/>
      <c r="R14" s="2120"/>
      <c r="S14" s="2120"/>
      <c r="T14" s="545"/>
      <c r="U14" s="2123" t="s">
        <v>1796</v>
      </c>
    </row>
    <row r="15" spans="1:28" ht="15" customHeight="1" thickBot="1">
      <c r="A15" s="526"/>
      <c r="C15" s="132"/>
      <c r="D15" s="546"/>
      <c r="E15" s="546"/>
      <c r="F15" s="546"/>
      <c r="G15" s="546"/>
      <c r="H15" s="546"/>
      <c r="I15" s="546"/>
      <c r="J15" s="546"/>
      <c r="K15" s="546"/>
      <c r="L15" s="546"/>
      <c r="M15" s="546"/>
      <c r="N15" s="546"/>
      <c r="O15" s="546"/>
      <c r="P15" s="546"/>
      <c r="Q15" s="545"/>
      <c r="R15" s="545"/>
      <c r="S15" s="545"/>
      <c r="T15" s="545"/>
      <c r="U15" s="2124"/>
    </row>
    <row r="16" spans="1:28" ht="39" customHeight="1" thickBot="1">
      <c r="A16" s="526"/>
      <c r="C16" s="158"/>
      <c r="D16" s="2129" t="s">
        <v>1794</v>
      </c>
      <c r="E16" s="2129"/>
      <c r="F16" s="2129"/>
      <c r="G16" s="2129"/>
      <c r="H16" s="2129"/>
      <c r="I16" s="2129"/>
      <c r="J16" s="2129"/>
      <c r="K16" s="2129"/>
      <c r="L16" s="2129"/>
      <c r="M16" s="2129"/>
      <c r="N16" s="2129"/>
      <c r="O16" s="2129"/>
      <c r="P16" s="2129"/>
      <c r="Q16" s="2129"/>
      <c r="R16" s="546"/>
      <c r="S16" s="444"/>
      <c r="T16" s="545"/>
      <c r="U16" s="2128"/>
      <c r="W16" s="425">
        <f>IF(S16=TRUE,15,0)</f>
        <v>0</v>
      </c>
    </row>
    <row r="17" spans="3:23" ht="6" customHeight="1" thickTop="1">
      <c r="G17" s="528"/>
      <c r="H17" s="528"/>
      <c r="I17" s="528"/>
      <c r="J17" s="528"/>
      <c r="K17" s="528"/>
      <c r="L17" s="528"/>
      <c r="M17" s="528"/>
      <c r="N17" s="528"/>
      <c r="O17" s="528"/>
      <c r="P17" s="528"/>
    </row>
    <row r="18" spans="3:23" ht="15" customHeight="1">
      <c r="C18" s="132">
        <v>2</v>
      </c>
      <c r="D18" s="1694" t="s">
        <v>2640</v>
      </c>
      <c r="E18" s="1694"/>
      <c r="F18" s="1694"/>
      <c r="G18" s="1694"/>
      <c r="H18" s="1694"/>
      <c r="I18" s="1694"/>
      <c r="J18" s="1694"/>
      <c r="K18" s="1694"/>
      <c r="L18" s="1694"/>
      <c r="M18" s="1694"/>
      <c r="N18" s="1694"/>
      <c r="O18" s="1694"/>
      <c r="P18" s="1694"/>
      <c r="Q18" s="1694"/>
      <c r="R18" s="1694"/>
      <c r="S18" s="1694"/>
      <c r="T18" s="759"/>
      <c r="U18" s="2123" t="s">
        <v>1796</v>
      </c>
      <c r="V18" s="758"/>
      <c r="W18" s="758"/>
    </row>
    <row r="19" spans="3:23" ht="12" customHeight="1" thickBot="1">
      <c r="S19" s="758"/>
      <c r="T19" s="758"/>
      <c r="U19" s="2124"/>
      <c r="V19" s="758"/>
      <c r="W19" s="758"/>
    </row>
    <row r="20" spans="3:23" ht="39" customHeight="1" thickBot="1">
      <c r="D20" s="1656" t="s">
        <v>2641</v>
      </c>
      <c r="E20" s="1656"/>
      <c r="F20" s="1656"/>
      <c r="G20" s="1656"/>
      <c r="H20" s="1656"/>
      <c r="I20" s="1656"/>
      <c r="J20" s="1656"/>
      <c r="K20" s="1656"/>
      <c r="L20" s="1656"/>
      <c r="M20" s="1656"/>
      <c r="N20" s="1656"/>
      <c r="O20" s="1656"/>
      <c r="P20" s="1656"/>
      <c r="Q20" s="1656"/>
      <c r="S20" s="1567"/>
      <c r="T20" s="759"/>
      <c r="U20" s="2128"/>
      <c r="V20" s="758"/>
      <c r="W20" s="425">
        <f>IF(S20=TRUE,15,0)</f>
        <v>0</v>
      </c>
    </row>
    <row r="21" spans="3:23" ht="6" customHeight="1" thickTop="1"/>
    <row r="22" spans="3:23" ht="15" customHeight="1">
      <c r="C22" s="132">
        <v>3</v>
      </c>
      <c r="D22" s="1694" t="s">
        <v>2642</v>
      </c>
      <c r="E22" s="1694"/>
      <c r="F22" s="1694"/>
      <c r="G22" s="1694"/>
      <c r="H22" s="1694"/>
      <c r="I22" s="1694"/>
      <c r="J22" s="1694"/>
      <c r="K22" s="1694"/>
      <c r="L22" s="1694"/>
      <c r="M22" s="1694"/>
      <c r="N22" s="1694"/>
      <c r="O22" s="1694"/>
      <c r="P22" s="1694"/>
      <c r="Q22" s="1694"/>
      <c r="R22" s="1694"/>
      <c r="S22" s="1694"/>
      <c r="T22" s="758"/>
      <c r="U22" s="2123" t="s">
        <v>1796</v>
      </c>
      <c r="V22" s="758"/>
      <c r="W22" s="758"/>
    </row>
    <row r="23" spans="3:23" ht="6" customHeight="1">
      <c r="S23" s="80"/>
      <c r="T23" s="266"/>
      <c r="U23" s="2124"/>
      <c r="V23" s="80"/>
      <c r="W23" s="80"/>
    </row>
    <row r="24" spans="3:23" ht="65.099999999999994" customHeight="1" thickBot="1">
      <c r="D24" s="547" t="s">
        <v>63</v>
      </c>
      <c r="E24" s="1752" t="s">
        <v>2643</v>
      </c>
      <c r="F24" s="1752"/>
      <c r="G24" s="1752"/>
      <c r="H24" s="1752"/>
      <c r="I24" s="1752"/>
      <c r="J24" s="1752"/>
      <c r="K24" s="1752"/>
      <c r="L24" s="1752"/>
      <c r="M24" s="1752"/>
      <c r="N24" s="1752"/>
      <c r="O24" s="1752"/>
      <c r="P24" s="1752"/>
      <c r="Q24" s="1752"/>
      <c r="S24" s="1567"/>
      <c r="T24" s="528"/>
      <c r="U24" s="2124"/>
      <c r="V24" s="758"/>
    </row>
    <row r="25" spans="3:23" ht="6" customHeight="1" thickTop="1" thickBot="1">
      <c r="U25" s="2124"/>
    </row>
    <row r="26" spans="3:23" ht="27" customHeight="1" thickBot="1">
      <c r="D26" s="547" t="s">
        <v>64</v>
      </c>
      <c r="E26" s="2126" t="s">
        <v>2885</v>
      </c>
      <c r="F26" s="2126"/>
      <c r="G26" s="2126"/>
      <c r="H26" s="2126"/>
      <c r="I26" s="2126"/>
      <c r="J26" s="2126"/>
      <c r="K26" s="2126"/>
      <c r="L26" s="2126"/>
      <c r="M26" s="2126"/>
      <c r="N26" s="2126"/>
      <c r="O26" s="2126"/>
      <c r="P26" s="2126"/>
      <c r="Q26" s="2126"/>
      <c r="S26" s="1567"/>
      <c r="U26" s="2124"/>
      <c r="W26" s="425">
        <f>IF(AND(S24=TRUE,S26=TRUE),15,0)</f>
        <v>0</v>
      </c>
    </row>
    <row r="27" spans="3:23" ht="6" customHeight="1" thickTop="1">
      <c r="U27" s="2124"/>
    </row>
    <row r="28" spans="3:23" ht="65.099999999999994" customHeight="1" thickBot="1">
      <c r="D28" s="547" t="s">
        <v>67</v>
      </c>
      <c r="E28" s="2126" t="s">
        <v>2644</v>
      </c>
      <c r="F28" s="2126"/>
      <c r="G28" s="2126"/>
      <c r="H28" s="2126"/>
      <c r="I28" s="2126"/>
      <c r="J28" s="2126"/>
      <c r="K28" s="2126"/>
      <c r="L28" s="2126"/>
      <c r="M28" s="2126"/>
      <c r="N28" s="2126"/>
      <c r="O28" s="2126"/>
      <c r="P28" s="2126"/>
      <c r="Q28" s="2126"/>
      <c r="S28" s="1398"/>
      <c r="U28" s="2124"/>
    </row>
    <row r="29" spans="3:23" ht="6" customHeight="1" thickTop="1"/>
    <row r="30" spans="3:23" ht="15" customHeight="1">
      <c r="C30" s="132">
        <v>4</v>
      </c>
      <c r="D30" s="1694" t="s">
        <v>2645</v>
      </c>
      <c r="E30" s="1694"/>
      <c r="F30" s="1694"/>
      <c r="G30" s="1694"/>
      <c r="H30" s="1694"/>
      <c r="I30" s="1694"/>
      <c r="J30" s="1694"/>
      <c r="K30" s="1694"/>
      <c r="L30" s="1694"/>
      <c r="M30" s="1694"/>
      <c r="N30" s="1694"/>
      <c r="O30" s="1694"/>
      <c r="P30" s="1694"/>
      <c r="Q30" s="1694"/>
      <c r="R30" s="1694"/>
      <c r="S30" s="1694"/>
      <c r="T30" s="759"/>
      <c r="U30" s="2123" t="s">
        <v>1796</v>
      </c>
      <c r="V30" s="758"/>
      <c r="W30" s="758"/>
    </row>
    <row r="31" spans="3:23" ht="6" customHeight="1" thickBot="1">
      <c r="D31" s="755"/>
      <c r="S31" s="528"/>
      <c r="T31" s="528"/>
      <c r="U31" s="2124"/>
      <c r="V31" s="758"/>
      <c r="W31" s="758"/>
    </row>
    <row r="32" spans="3:23" ht="53.1" customHeight="1" thickBot="1">
      <c r="D32" s="1656" t="s">
        <v>1795</v>
      </c>
      <c r="E32" s="1656"/>
      <c r="F32" s="1656"/>
      <c r="G32" s="1656"/>
      <c r="H32" s="1656"/>
      <c r="I32" s="1656"/>
      <c r="J32" s="1656"/>
      <c r="K32" s="1656"/>
      <c r="L32" s="1656"/>
      <c r="M32" s="1656"/>
      <c r="N32" s="1656"/>
      <c r="O32" s="1656"/>
      <c r="P32" s="1656"/>
      <c r="Q32" s="1656"/>
      <c r="S32" s="1567"/>
      <c r="T32" s="758"/>
      <c r="U32" s="2128"/>
      <c r="V32" s="758"/>
      <c r="W32" s="425">
        <f>IF(S32=TRUE,15,0)</f>
        <v>0</v>
      </c>
    </row>
    <row r="33" spans="3:23" ht="6" customHeight="1" thickTop="1"/>
    <row r="34" spans="3:23">
      <c r="C34" s="132">
        <v>5</v>
      </c>
      <c r="D34" s="1694" t="s">
        <v>2854</v>
      </c>
      <c r="E34" s="1694"/>
      <c r="F34" s="1694"/>
      <c r="G34" s="1694"/>
      <c r="H34" s="1694"/>
      <c r="I34" s="1694"/>
      <c r="J34" s="1694"/>
      <c r="K34" s="1694"/>
      <c r="L34" s="1694"/>
      <c r="M34" s="1694"/>
      <c r="N34" s="1694"/>
      <c r="O34" s="1694"/>
      <c r="P34" s="1694"/>
      <c r="Q34" s="1694"/>
      <c r="R34" s="1694"/>
      <c r="S34" s="1694"/>
    </row>
    <row r="35" spans="3:23" ht="6" customHeight="1"/>
    <row r="36" spans="3:23" ht="39" customHeight="1" thickBot="1">
      <c r="D36" s="547" t="s">
        <v>63</v>
      </c>
      <c r="E36" s="2122" t="s">
        <v>2646</v>
      </c>
      <c r="F36" s="2122"/>
      <c r="G36" s="2122"/>
      <c r="H36" s="2122"/>
      <c r="I36" s="2122"/>
      <c r="J36" s="2122"/>
      <c r="K36" s="2122"/>
      <c r="L36" s="2122"/>
      <c r="M36" s="2122"/>
      <c r="N36" s="2122"/>
      <c r="O36" s="2122"/>
      <c r="P36" s="2122"/>
      <c r="Q36" s="2122"/>
      <c r="S36" s="1567"/>
      <c r="U36" s="2123" t="s">
        <v>1796</v>
      </c>
    </row>
    <row r="37" spans="3:23" ht="6" customHeight="1" thickTop="1" thickBot="1">
      <c r="U37" s="2124"/>
    </row>
    <row r="38" spans="3:23" ht="80.099999999999994" customHeight="1" thickBot="1">
      <c r="D38" s="206" t="s">
        <v>64</v>
      </c>
      <c r="E38" s="2121" t="s">
        <v>1797</v>
      </c>
      <c r="F38" s="2121"/>
      <c r="G38" s="2121"/>
      <c r="H38" s="2121"/>
      <c r="I38" s="2121"/>
      <c r="J38" s="2121"/>
      <c r="K38" s="2121"/>
      <c r="L38" s="2121"/>
      <c r="M38" s="2121"/>
      <c r="N38" s="2121"/>
      <c r="O38" s="2121"/>
      <c r="P38" s="2121"/>
      <c r="Q38" s="2121"/>
      <c r="S38" s="1567"/>
      <c r="U38" s="2124"/>
      <c r="W38" s="425">
        <f>IF(AND(S36=TRUE,S38=TRUE),15,0)</f>
        <v>0</v>
      </c>
    </row>
    <row r="39" spans="3:23" ht="6" customHeight="1" thickTop="1">
      <c r="U39" s="2124"/>
    </row>
    <row r="40" spans="3:23" ht="65.099999999999994" customHeight="1" thickBot="1">
      <c r="D40" s="547" t="s">
        <v>67</v>
      </c>
      <c r="E40" s="2125" t="s">
        <v>2648</v>
      </c>
      <c r="F40" s="2125"/>
      <c r="G40" s="2125"/>
      <c r="H40" s="2125"/>
      <c r="I40" s="2125"/>
      <c r="J40" s="2125"/>
      <c r="K40" s="2125"/>
      <c r="L40" s="2125"/>
      <c r="M40" s="2125"/>
      <c r="N40" s="2125"/>
      <c r="O40" s="2125"/>
      <c r="P40" s="2125"/>
      <c r="Q40" s="2125"/>
      <c r="S40" s="858"/>
      <c r="U40" s="2128"/>
    </row>
    <row r="41" spans="3:23" ht="13.5" thickTop="1"/>
  </sheetData>
  <sheetProtection algorithmName="SHA-512" hashValue="VdlUYG390YDZBe/HVZuU1v9RSCsNz9l4GoeON0LigrevsCOvtnDH5oAYRuE1U4OezI3i796aD3fZKKxyXt/TQA==" saltValue="HchG1sdNtJZxjWy9ahT5MA==" spinCount="100000" sheet="1" objects="1" scenarios="1"/>
  <mergeCells count="27">
    <mergeCell ref="V1:X5"/>
    <mergeCell ref="C12:Q12"/>
    <mergeCell ref="U10:U12"/>
    <mergeCell ref="U14:U16"/>
    <mergeCell ref="U36:U40"/>
    <mergeCell ref="D16:Q16"/>
    <mergeCell ref="U30:U32"/>
    <mergeCell ref="D32:Q32"/>
    <mergeCell ref="C3:U3"/>
    <mergeCell ref="C5:U5"/>
    <mergeCell ref="C7:H7"/>
    <mergeCell ref="I7:U7"/>
    <mergeCell ref="C10:Q10"/>
    <mergeCell ref="U18:U20"/>
    <mergeCell ref="D22:S22"/>
    <mergeCell ref="E24:Q24"/>
    <mergeCell ref="U22:U28"/>
    <mergeCell ref="D18:S18"/>
    <mergeCell ref="E40:Q40"/>
    <mergeCell ref="D20:Q20"/>
    <mergeCell ref="E28:Q28"/>
    <mergeCell ref="E26:Q26"/>
    <mergeCell ref="D14:S14"/>
    <mergeCell ref="D30:S30"/>
    <mergeCell ref="D34:S34"/>
    <mergeCell ref="E38:Q38"/>
    <mergeCell ref="E36:Q36"/>
  </mergeCells>
  <dataValidations count="2">
    <dataValidation type="list" allowBlank="1" showInputMessage="1" showErrorMessage="1" sqref="S10 S12 S32 S20 S16 S24 S26 S36 S38" xr:uid="{00000000-0002-0000-1F00-000000000000}">
      <formula1>$AA$3:$AA$4</formula1>
    </dataValidation>
    <dataValidation type="list" allowBlank="1" showInputMessage="1" showErrorMessage="1" sqref="S28 S40" xr:uid="{00000000-0002-0000-1F00-000001000000}">
      <formula1>$AB$3:$AB$5</formula1>
    </dataValidation>
  </dataValidations>
  <pageMargins left="0.75" right="0.5" top="0.5" bottom="0.75" header="0" footer="0.5"/>
  <pageSetup scale="80" orientation="portrait" r:id="rId1"/>
  <headerFooter alignWithMargins="0">
    <oddFooter>&amp;C&amp;A&amp;R&amp;D &amp;T</oddFooter>
  </headerFooter>
  <rowBreaks count="1" manualBreakCount="1">
    <brk id="29" max="16383" man="1"/>
  </rowBreaks>
  <colBreaks count="1" manualBreakCount="1">
    <brk id="20" max="1048575" man="1"/>
  </colBreaks>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43">
    <pageSetUpPr fitToPage="1"/>
  </sheetPr>
  <dimension ref="A1:AD51"/>
  <sheetViews>
    <sheetView zoomScaleNormal="100" workbookViewId="0"/>
  </sheetViews>
  <sheetFormatPr defaultColWidth="8.85546875" defaultRowHeight="12.75"/>
  <cols>
    <col min="1" max="1" width="4.7109375" style="542" customWidth="1"/>
    <col min="2" max="2" width="2.7109375" style="542" customWidth="1"/>
    <col min="3" max="3" width="3.42578125" style="542" bestFit="1" customWidth="1"/>
    <col min="4" max="6" width="2.7109375" style="542" customWidth="1"/>
    <col min="7" max="7" width="4.7109375" style="542" customWidth="1"/>
    <col min="8" max="8" width="2.7109375" style="542" customWidth="1"/>
    <col min="9" max="9" width="4.7109375" style="542" customWidth="1"/>
    <col min="10" max="10" width="2.7109375" style="542" customWidth="1"/>
    <col min="11" max="11" width="4.7109375" style="542" customWidth="1"/>
    <col min="12" max="12" width="2.7109375" style="542" customWidth="1"/>
    <col min="13" max="13" width="12.7109375" style="542" customWidth="1"/>
    <col min="14" max="14" width="9.140625" style="542" customWidth="1"/>
    <col min="15" max="15" width="11.7109375" style="542" customWidth="1"/>
    <col min="16" max="16" width="2.7109375" style="542" customWidth="1"/>
    <col min="17" max="17" width="12.7109375" style="542" customWidth="1"/>
    <col min="18" max="18" width="1.7109375" style="542" customWidth="1"/>
    <col min="19" max="19" width="12.7109375" style="542" customWidth="1"/>
    <col min="20" max="20" width="1.7109375" style="542" customWidth="1"/>
    <col min="21" max="21" width="10.28515625" style="542" customWidth="1"/>
    <col min="22" max="23" width="10.7109375" style="542" customWidth="1"/>
    <col min="24" max="24" width="15.7109375" style="542" customWidth="1"/>
    <col min="25" max="25" width="5.7109375" style="543" customWidth="1"/>
    <col min="26" max="27" width="10.7109375" style="542" hidden="1" customWidth="1"/>
    <col min="28" max="28" width="10.7109375" style="526" hidden="1" customWidth="1"/>
    <col min="29" max="29" width="5.7109375" style="543" customWidth="1"/>
    <col min="30" max="16384" width="8.85546875" style="542"/>
  </cols>
  <sheetData>
    <row r="1" spans="1:29">
      <c r="A1" s="1302" t="str">
        <f>IF('FORM 1040-1'!D15="","",'FORM 1040-1'!D15)</f>
        <v/>
      </c>
      <c r="B1" s="1308"/>
      <c r="C1" s="1308"/>
      <c r="D1" s="1308"/>
      <c r="E1" s="1308"/>
      <c r="F1" s="1308"/>
      <c r="G1" s="1308"/>
      <c r="H1" s="1308"/>
      <c r="I1" s="1308"/>
      <c r="J1" s="1308"/>
      <c r="K1" s="1308"/>
      <c r="L1" s="1308"/>
      <c r="M1" s="1308"/>
      <c r="N1" s="1308"/>
      <c r="O1" s="1308"/>
      <c r="P1" s="1308"/>
      <c r="Q1" s="1308"/>
      <c r="R1" s="1308"/>
      <c r="S1" s="1308"/>
      <c r="T1" s="1308"/>
      <c r="U1" s="1294" t="str">
        <f>IF('FORM 1040-1'!$E$12="","",'FORM 1040-1'!$E$12)</f>
        <v/>
      </c>
      <c r="V1" s="2127" t="s">
        <v>1621</v>
      </c>
      <c r="W1" s="2127"/>
      <c r="X1" s="2127"/>
    </row>
    <row r="2" spans="1:29">
      <c r="V2" s="2127"/>
      <c r="W2" s="2127"/>
      <c r="X2" s="2127"/>
    </row>
    <row r="3" spans="1:29" ht="15" customHeight="1" thickBot="1">
      <c r="A3" s="750" t="s">
        <v>21</v>
      </c>
      <c r="B3" s="85" t="s">
        <v>112</v>
      </c>
      <c r="C3" s="2135" t="s">
        <v>298</v>
      </c>
      <c r="D3" s="2135"/>
      <c r="E3" s="2135"/>
      <c r="F3" s="2135"/>
      <c r="G3" s="2135"/>
      <c r="H3" s="2135"/>
      <c r="I3" s="2143" t="str">
        <f>IF('FORM 1040-20'!I7="","",('FORM 1040-20'!I7))</f>
        <v/>
      </c>
      <c r="J3" s="2143"/>
      <c r="K3" s="2143"/>
      <c r="L3" s="2143"/>
      <c r="M3" s="2143"/>
      <c r="N3" s="2143"/>
      <c r="O3" s="2143"/>
      <c r="P3" s="2143"/>
      <c r="Q3" s="2143"/>
      <c r="R3" s="2143"/>
      <c r="S3" s="2143"/>
      <c r="T3" s="2143"/>
      <c r="U3" s="2143"/>
      <c r="V3" s="2127"/>
      <c r="W3" s="2127"/>
      <c r="X3" s="2127"/>
      <c r="Y3" s="6"/>
      <c r="Z3" s="758"/>
      <c r="AA3" s="22" t="b">
        <v>1</v>
      </c>
      <c r="AB3" s="293" t="b">
        <v>1</v>
      </c>
    </row>
    <row r="4" spans="1:29" ht="6" customHeight="1" thickTop="1">
      <c r="G4" s="763"/>
      <c r="I4" s="763"/>
      <c r="K4" s="763"/>
      <c r="L4" s="763"/>
      <c r="N4" s="763"/>
      <c r="O4" s="763"/>
      <c r="V4" s="2127"/>
      <c r="W4" s="2127"/>
      <c r="X4" s="2127"/>
      <c r="Y4" s="6"/>
      <c r="Z4" s="758"/>
      <c r="AA4" s="22" t="b">
        <v>0</v>
      </c>
      <c r="AB4" s="293" t="b">
        <v>0</v>
      </c>
    </row>
    <row r="5" spans="1:29" s="541" customFormat="1" ht="13.5" thickBot="1">
      <c r="D5" s="760"/>
      <c r="E5" s="760"/>
      <c r="F5" s="760"/>
      <c r="G5" s="760"/>
      <c r="H5" s="760"/>
      <c r="I5" s="760"/>
      <c r="J5" s="760"/>
      <c r="K5" s="760"/>
      <c r="L5" s="760"/>
      <c r="M5" s="760"/>
      <c r="N5" s="760"/>
      <c r="O5" s="760"/>
      <c r="P5" s="760"/>
      <c r="Q5" s="760"/>
      <c r="R5" s="783"/>
      <c r="S5" s="1237"/>
      <c r="T5" s="760"/>
      <c r="U5" s="526" t="s">
        <v>812</v>
      </c>
      <c r="V5" s="760"/>
      <c r="W5" s="424" t="s">
        <v>795</v>
      </c>
      <c r="Y5" s="543"/>
      <c r="Z5" s="542"/>
      <c r="AA5" s="542"/>
      <c r="AB5" s="293" t="s">
        <v>312</v>
      </c>
      <c r="AC5" s="543"/>
    </row>
    <row r="6" spans="1:29" s="541" customFormat="1" ht="26.1" customHeight="1">
      <c r="C6" s="158">
        <v>6</v>
      </c>
      <c r="D6" s="2136" t="s">
        <v>2647</v>
      </c>
      <c r="E6" s="2136"/>
      <c r="F6" s="2136"/>
      <c r="G6" s="2136"/>
      <c r="H6" s="2136"/>
      <c r="I6" s="2136"/>
      <c r="J6" s="2136"/>
      <c r="K6" s="2136"/>
      <c r="L6" s="2136"/>
      <c r="M6" s="2136"/>
      <c r="N6" s="2136"/>
      <c r="O6" s="2136"/>
      <c r="P6" s="2136"/>
      <c r="Q6" s="2136"/>
      <c r="R6" s="2136"/>
      <c r="S6" s="2136"/>
      <c r="T6" s="785"/>
      <c r="U6" s="2123" t="s">
        <v>1796</v>
      </c>
      <c r="Y6" s="543"/>
      <c r="Z6" s="710" t="s">
        <v>1650</v>
      </c>
      <c r="AA6" s="87" t="s">
        <v>764</v>
      </c>
      <c r="AB6" s="526"/>
      <c r="AC6" s="543"/>
    </row>
    <row r="7" spans="1:29" s="541" customFormat="1" ht="6" customHeight="1" thickBot="1">
      <c r="C7" s="760"/>
      <c r="D7" s="760"/>
      <c r="E7" s="760"/>
      <c r="F7" s="760"/>
      <c r="G7" s="760"/>
      <c r="H7" s="760"/>
      <c r="I7" s="760"/>
      <c r="J7" s="760"/>
      <c r="K7" s="760"/>
      <c r="L7" s="760"/>
      <c r="M7" s="760"/>
      <c r="N7" s="760"/>
      <c r="O7" s="760"/>
      <c r="P7" s="760"/>
      <c r="Q7" s="760"/>
      <c r="R7" s="783"/>
      <c r="S7" s="1237"/>
      <c r="T7" s="760"/>
      <c r="U7" s="2124"/>
      <c r="V7" s="760"/>
      <c r="W7" s="760"/>
      <c r="Y7" s="543"/>
      <c r="Z7" s="542"/>
      <c r="AA7" s="542"/>
      <c r="AB7" s="526"/>
      <c r="AC7" s="543"/>
    </row>
    <row r="8" spans="1:29" s="541" customFormat="1" ht="65.099999999999994" customHeight="1" thickBot="1">
      <c r="D8" s="2134" t="s">
        <v>2649</v>
      </c>
      <c r="E8" s="2134"/>
      <c r="F8" s="2134"/>
      <c r="G8" s="2134"/>
      <c r="H8" s="2134"/>
      <c r="I8" s="2134"/>
      <c r="J8" s="2134"/>
      <c r="K8" s="2134"/>
      <c r="L8" s="2134"/>
      <c r="M8" s="2134"/>
      <c r="N8" s="2134"/>
      <c r="O8" s="2134"/>
      <c r="P8" s="2134"/>
      <c r="Q8" s="2134"/>
      <c r="R8" s="790"/>
      <c r="S8" s="762"/>
      <c r="U8" s="2128"/>
      <c r="W8" s="425">
        <f>IF(S8=TRUE,15,0)</f>
        <v>0</v>
      </c>
      <c r="Y8" s="543"/>
      <c r="Z8" s="542"/>
      <c r="AA8" s="542"/>
      <c r="AB8" s="526"/>
      <c r="AC8" s="543"/>
    </row>
    <row r="9" spans="1:29" s="541" customFormat="1" ht="6" customHeight="1" thickTop="1">
      <c r="A9" s="784"/>
      <c r="C9" s="303"/>
      <c r="D9" s="790"/>
      <c r="E9" s="790"/>
      <c r="F9" s="790"/>
      <c r="G9" s="790"/>
      <c r="H9" s="790"/>
      <c r="I9" s="790"/>
      <c r="J9" s="790"/>
      <c r="K9" s="790"/>
      <c r="L9" s="790"/>
      <c r="M9" s="790"/>
      <c r="N9" s="790"/>
      <c r="O9" s="790"/>
      <c r="P9" s="790"/>
      <c r="Q9" s="790"/>
      <c r="R9" s="790"/>
      <c r="S9" s="790"/>
      <c r="T9" s="785"/>
      <c r="U9" s="789"/>
      <c r="Y9" s="543"/>
      <c r="Z9" s="542"/>
      <c r="AA9" s="542"/>
      <c r="AB9" s="526"/>
      <c r="AC9" s="543"/>
    </row>
    <row r="10" spans="1:29" s="541" customFormat="1" ht="15" customHeight="1">
      <c r="A10" s="784"/>
      <c r="C10" s="132">
        <v>7</v>
      </c>
      <c r="D10" s="2134" t="s">
        <v>2650</v>
      </c>
      <c r="E10" s="2134"/>
      <c r="F10" s="2134"/>
      <c r="G10" s="2134"/>
      <c r="H10" s="2134"/>
      <c r="I10" s="2134"/>
      <c r="J10" s="2134"/>
      <c r="K10" s="2134"/>
      <c r="L10" s="2134"/>
      <c r="M10" s="2134"/>
      <c r="N10" s="2134"/>
      <c r="O10" s="2134"/>
      <c r="P10" s="2134"/>
      <c r="Q10" s="2134"/>
      <c r="R10" s="785"/>
      <c r="T10" s="785"/>
      <c r="U10" s="2123" t="s">
        <v>1796</v>
      </c>
      <c r="Y10" s="543"/>
      <c r="Z10" s="542"/>
      <c r="AA10" s="542"/>
      <c r="AB10" s="526"/>
      <c r="AC10" s="543"/>
    </row>
    <row r="11" spans="1:29" s="541" customFormat="1" ht="6" customHeight="1" thickBot="1">
      <c r="A11" s="784"/>
      <c r="C11" s="303"/>
      <c r="D11" s="786"/>
      <c r="E11" s="786"/>
      <c r="F11" s="786"/>
      <c r="G11" s="786"/>
      <c r="H11" s="786"/>
      <c r="I11" s="786"/>
      <c r="J11" s="786"/>
      <c r="K11" s="786"/>
      <c r="L11" s="786"/>
      <c r="M11" s="786"/>
      <c r="N11" s="786"/>
      <c r="O11" s="786"/>
      <c r="P11" s="786"/>
      <c r="Q11" s="785"/>
      <c r="R11" s="785"/>
      <c r="T11" s="785"/>
      <c r="U11" s="2124"/>
      <c r="Y11" s="543"/>
      <c r="Z11" s="542"/>
      <c r="AA11" s="542"/>
      <c r="AB11" s="526"/>
      <c r="AC11" s="543"/>
    </row>
    <row r="12" spans="1:29" s="541" customFormat="1" ht="39" customHeight="1" thickBot="1">
      <c r="A12" s="784"/>
      <c r="C12" s="303"/>
      <c r="D12" s="788" t="s">
        <v>63</v>
      </c>
      <c r="E12" s="2134" t="s">
        <v>2651</v>
      </c>
      <c r="F12" s="2134"/>
      <c r="G12" s="2134"/>
      <c r="H12" s="2134"/>
      <c r="I12" s="2134"/>
      <c r="J12" s="2134"/>
      <c r="K12" s="2134"/>
      <c r="L12" s="2134"/>
      <c r="M12" s="2134"/>
      <c r="N12" s="2134"/>
      <c r="O12" s="2134"/>
      <c r="P12" s="2134"/>
      <c r="Q12" s="2134"/>
      <c r="R12" s="785"/>
      <c r="S12" s="1567"/>
      <c r="T12" s="785"/>
      <c r="U12" s="2124"/>
      <c r="W12" s="425">
        <f>IF(S12=TRUE,15,0)</f>
        <v>0</v>
      </c>
      <c r="X12" s="2133" t="str">
        <f>IF(AND(S12=TRUE,S18=TRUE),"ERROR: ONLY ANSWER TRUE IN 8.A. OR 8.B., NOT BOTH","")</f>
        <v/>
      </c>
      <c r="Y12" s="543"/>
      <c r="Z12" s="542"/>
      <c r="AA12" s="542"/>
      <c r="AB12" s="526"/>
      <c r="AC12" s="543"/>
    </row>
    <row r="13" spans="1:29" s="541" customFormat="1" ht="6" customHeight="1" thickTop="1">
      <c r="A13" s="784"/>
      <c r="C13" s="303"/>
      <c r="D13" s="788"/>
      <c r="E13" s="1408"/>
      <c r="F13" s="1408"/>
      <c r="G13" s="1408"/>
      <c r="H13" s="1408"/>
      <c r="I13" s="1408"/>
      <c r="J13" s="1408"/>
      <c r="K13" s="1408"/>
      <c r="L13" s="1408"/>
      <c r="M13" s="1408"/>
      <c r="N13" s="1408"/>
      <c r="O13" s="1408"/>
      <c r="P13" s="1408"/>
      <c r="Q13" s="1408"/>
      <c r="R13" s="785"/>
      <c r="T13" s="785"/>
      <c r="U13" s="2124"/>
      <c r="W13" s="981"/>
      <c r="X13" s="2133"/>
      <c r="Y13" s="543"/>
      <c r="Z13" s="542"/>
      <c r="AA13" s="542"/>
      <c r="AB13" s="526"/>
      <c r="AC13" s="543"/>
    </row>
    <row r="14" spans="1:29" s="541" customFormat="1" ht="65.099999999999994" customHeight="1" thickBot="1">
      <c r="A14" s="784"/>
      <c r="C14" s="303"/>
      <c r="D14" s="788" t="s">
        <v>64</v>
      </c>
      <c r="E14" s="2126" t="s">
        <v>2652</v>
      </c>
      <c r="F14" s="2126"/>
      <c r="G14" s="2126"/>
      <c r="H14" s="2126"/>
      <c r="I14" s="2126"/>
      <c r="J14" s="2126"/>
      <c r="K14" s="2126"/>
      <c r="L14" s="2126"/>
      <c r="M14" s="2126"/>
      <c r="N14" s="2126"/>
      <c r="O14" s="2126"/>
      <c r="P14" s="2126"/>
      <c r="Q14" s="2126"/>
      <c r="R14" s="785"/>
      <c r="S14" s="1398"/>
      <c r="T14" s="785"/>
      <c r="U14" s="2124"/>
      <c r="W14" s="981"/>
      <c r="X14" s="2133"/>
      <c r="Y14" s="543"/>
      <c r="Z14" s="542"/>
      <c r="AA14" s="542"/>
      <c r="AB14" s="526"/>
      <c r="AC14" s="543"/>
    </row>
    <row r="15" spans="1:29" s="541" customFormat="1" ht="6" customHeight="1" thickTop="1">
      <c r="A15" s="784"/>
      <c r="C15" s="303"/>
      <c r="D15" s="786"/>
      <c r="E15" s="786"/>
      <c r="F15" s="786"/>
      <c r="G15" s="786"/>
      <c r="H15" s="786"/>
      <c r="I15" s="786"/>
      <c r="J15" s="786"/>
      <c r="K15" s="786"/>
      <c r="L15" s="786"/>
      <c r="M15" s="786"/>
      <c r="N15" s="786"/>
      <c r="O15" s="786"/>
      <c r="P15" s="786"/>
      <c r="Q15" s="785"/>
      <c r="R15" s="785"/>
      <c r="T15" s="785"/>
      <c r="U15" s="2124"/>
      <c r="X15" s="2133"/>
      <c r="Y15" s="543"/>
      <c r="Z15" s="542"/>
      <c r="AA15" s="542"/>
      <c r="AB15" s="526"/>
      <c r="AC15" s="543"/>
    </row>
    <row r="16" spans="1:29" s="541" customFormat="1" ht="12" customHeight="1">
      <c r="A16" s="784"/>
      <c r="C16" s="303"/>
      <c r="D16" s="786"/>
      <c r="E16" s="2137" t="s">
        <v>798</v>
      </c>
      <c r="F16" s="2138"/>
      <c r="G16" s="2138"/>
      <c r="H16" s="2138"/>
      <c r="I16" s="2138"/>
      <c r="J16" s="2138"/>
      <c r="K16" s="2138"/>
      <c r="L16" s="2138"/>
      <c r="M16" s="2138"/>
      <c r="N16" s="2138"/>
      <c r="O16" s="2138"/>
      <c r="P16" s="2138"/>
      <c r="Q16" s="2138"/>
      <c r="R16" s="785"/>
      <c r="T16" s="785"/>
      <c r="U16" s="2124"/>
      <c r="W16" s="452" t="s">
        <v>798</v>
      </c>
      <c r="X16" s="2133"/>
      <c r="Y16" s="543"/>
      <c r="Z16" s="542"/>
      <c r="AA16" s="542"/>
      <c r="AB16" s="526"/>
      <c r="AC16" s="543"/>
    </row>
    <row r="17" spans="1:30" s="541" customFormat="1" ht="6" customHeight="1" thickBot="1">
      <c r="A17" s="784"/>
      <c r="C17" s="303"/>
      <c r="D17" s="786"/>
      <c r="E17" s="786"/>
      <c r="F17" s="786"/>
      <c r="G17" s="786"/>
      <c r="H17" s="786"/>
      <c r="I17" s="786"/>
      <c r="J17" s="786"/>
      <c r="K17" s="786"/>
      <c r="L17" s="786"/>
      <c r="M17" s="786"/>
      <c r="N17" s="786"/>
      <c r="O17" s="786"/>
      <c r="P17" s="786"/>
      <c r="Q17" s="785"/>
      <c r="R17" s="785"/>
      <c r="T17" s="785"/>
      <c r="U17" s="2124"/>
      <c r="X17" s="2133"/>
      <c r="Y17" s="543"/>
      <c r="Z17" s="542"/>
      <c r="AA17" s="542"/>
      <c r="AB17" s="526"/>
      <c r="AC17" s="543"/>
    </row>
    <row r="18" spans="1:30" s="541" customFormat="1" ht="26.1" customHeight="1" thickBot="1">
      <c r="A18" s="784"/>
      <c r="C18" s="457"/>
      <c r="D18" s="788" t="s">
        <v>67</v>
      </c>
      <c r="E18" s="2134" t="s">
        <v>1946</v>
      </c>
      <c r="F18" s="2134"/>
      <c r="G18" s="2134"/>
      <c r="H18" s="2134"/>
      <c r="I18" s="2134"/>
      <c r="J18" s="2134"/>
      <c r="K18" s="2134"/>
      <c r="L18" s="2134"/>
      <c r="M18" s="2134"/>
      <c r="N18" s="2134"/>
      <c r="O18" s="2134"/>
      <c r="P18" s="2134"/>
      <c r="Q18" s="2134"/>
      <c r="R18" s="786"/>
      <c r="S18" s="1591"/>
      <c r="T18" s="785"/>
      <c r="U18" s="2128"/>
      <c r="W18" s="425">
        <f>IF(S18=TRUE,15,0)</f>
        <v>0</v>
      </c>
      <c r="X18" s="2133"/>
      <c r="Y18" s="543"/>
      <c r="Z18" s="750">
        <f>MAX(W12,W18)</f>
        <v>0</v>
      </c>
      <c r="AA18" s="758" t="s">
        <v>942</v>
      </c>
      <c r="AB18" s="526"/>
      <c r="AC18" s="543"/>
    </row>
    <row r="19" spans="1:30" s="541" customFormat="1" ht="6" customHeight="1" thickTop="1">
      <c r="A19" s="784"/>
      <c r="C19" s="457"/>
      <c r="D19" s="787"/>
      <c r="E19" s="787"/>
      <c r="F19" s="787"/>
      <c r="G19" s="787"/>
      <c r="H19" s="787"/>
      <c r="I19" s="787"/>
      <c r="J19" s="787"/>
      <c r="K19" s="787"/>
      <c r="L19" s="787"/>
      <c r="M19" s="787"/>
      <c r="N19" s="787"/>
      <c r="O19" s="787"/>
      <c r="P19" s="787"/>
      <c r="Q19" s="787"/>
      <c r="R19" s="787"/>
      <c r="S19" s="787"/>
      <c r="T19" s="785"/>
      <c r="U19" s="789"/>
      <c r="Y19" s="543"/>
      <c r="Z19" s="542"/>
      <c r="AA19" s="542"/>
      <c r="AB19" s="526"/>
      <c r="AC19" s="543"/>
    </row>
    <row r="20" spans="1:30" s="541" customFormat="1" ht="15" customHeight="1">
      <c r="A20" s="784"/>
      <c r="C20" s="132">
        <v>8</v>
      </c>
      <c r="D20" s="2134" t="s">
        <v>1798</v>
      </c>
      <c r="E20" s="2134"/>
      <c r="F20" s="2134"/>
      <c r="G20" s="2134"/>
      <c r="H20" s="2134"/>
      <c r="I20" s="2134"/>
      <c r="J20" s="2134"/>
      <c r="K20" s="2134"/>
      <c r="L20" s="2134"/>
      <c r="M20" s="2134"/>
      <c r="N20" s="2134"/>
      <c r="O20" s="2134"/>
      <c r="P20" s="2134"/>
      <c r="Q20" s="2134"/>
      <c r="R20" s="785"/>
      <c r="T20" s="785"/>
      <c r="U20" s="2123" t="s">
        <v>1796</v>
      </c>
      <c r="Y20" s="543"/>
      <c r="Z20" s="542"/>
      <c r="AA20" s="542"/>
      <c r="AB20" s="526"/>
      <c r="AC20" s="543"/>
    </row>
    <row r="21" spans="1:30" s="541" customFormat="1" ht="6" customHeight="1" thickBot="1">
      <c r="A21" s="784"/>
      <c r="C21" s="303"/>
      <c r="D21" s="786"/>
      <c r="E21" s="786"/>
      <c r="F21" s="786"/>
      <c r="G21" s="786"/>
      <c r="H21" s="786"/>
      <c r="I21" s="786"/>
      <c r="J21" s="786"/>
      <c r="K21" s="786"/>
      <c r="L21" s="786"/>
      <c r="M21" s="786"/>
      <c r="N21" s="786"/>
      <c r="O21" s="786"/>
      <c r="P21" s="786"/>
      <c r="Q21" s="785"/>
      <c r="R21" s="785"/>
      <c r="T21" s="785"/>
      <c r="U21" s="2124"/>
      <c r="Y21" s="543"/>
      <c r="Z21" s="542"/>
      <c r="AA21" s="542"/>
      <c r="AB21" s="526"/>
      <c r="AC21" s="543"/>
    </row>
    <row r="22" spans="1:30" s="541" customFormat="1" ht="45" customHeight="1" thickBot="1">
      <c r="A22" s="784"/>
      <c r="C22" s="303"/>
      <c r="D22" s="2136" t="s">
        <v>2809</v>
      </c>
      <c r="E22" s="2136"/>
      <c r="F22" s="2136"/>
      <c r="G22" s="2136"/>
      <c r="H22" s="2136"/>
      <c r="I22" s="2136"/>
      <c r="J22" s="2136"/>
      <c r="K22" s="2136"/>
      <c r="L22" s="2136"/>
      <c r="M22" s="2136"/>
      <c r="N22" s="2136"/>
      <c r="O22" s="2136"/>
      <c r="P22" s="2136"/>
      <c r="Q22" s="2136"/>
      <c r="R22" s="785"/>
      <c r="S22" s="762"/>
      <c r="T22" s="785"/>
      <c r="U22" s="2128"/>
      <c r="W22" s="425">
        <f>IF(S22=TRUE,15,0)</f>
        <v>0</v>
      </c>
      <c r="Y22" s="543"/>
      <c r="Z22" s="542"/>
      <c r="AA22" s="542"/>
      <c r="AB22" s="526"/>
      <c r="AC22" s="543"/>
    </row>
    <row r="23" spans="1:30" ht="6" customHeight="1" thickTop="1">
      <c r="G23" s="528"/>
      <c r="H23" s="528"/>
      <c r="I23" s="528"/>
      <c r="J23" s="528"/>
      <c r="K23" s="528"/>
      <c r="L23" s="528"/>
      <c r="M23" s="528"/>
      <c r="N23" s="528"/>
      <c r="O23" s="528"/>
      <c r="P23" s="528"/>
    </row>
    <row r="24" spans="1:30" ht="15" customHeight="1">
      <c r="C24" s="132">
        <v>9</v>
      </c>
      <c r="D24" s="2131" t="s">
        <v>2851</v>
      </c>
      <c r="E24" s="2131"/>
      <c r="F24" s="2131"/>
      <c r="G24" s="2131"/>
      <c r="H24" s="2131"/>
      <c r="I24" s="2131"/>
      <c r="J24" s="2131"/>
      <c r="K24" s="2131"/>
      <c r="L24" s="2131"/>
      <c r="M24" s="2131"/>
      <c r="N24" s="2131"/>
      <c r="O24" s="2131"/>
      <c r="P24" s="2131"/>
      <c r="Q24" s="2131"/>
      <c r="R24" s="2131"/>
      <c r="S24" s="2131"/>
      <c r="U24" s="2123" t="s">
        <v>1796</v>
      </c>
    </row>
    <row r="25" spans="1:30" ht="6" customHeight="1" thickBot="1">
      <c r="G25" s="528"/>
      <c r="H25" s="528"/>
      <c r="I25" s="528"/>
      <c r="J25" s="528"/>
      <c r="K25" s="528"/>
      <c r="L25" s="528"/>
      <c r="M25" s="528"/>
      <c r="N25" s="528"/>
      <c r="O25" s="528"/>
      <c r="P25" s="528"/>
      <c r="U25" s="2124"/>
    </row>
    <row r="26" spans="1:30" ht="39" customHeight="1" thickBot="1">
      <c r="A26" s="548"/>
      <c r="B26" s="549"/>
      <c r="C26" s="158"/>
      <c r="D26" s="2122" t="s">
        <v>2653</v>
      </c>
      <c r="E26" s="2122"/>
      <c r="F26" s="2122"/>
      <c r="G26" s="2122"/>
      <c r="H26" s="2122"/>
      <c r="I26" s="2122"/>
      <c r="J26" s="2122"/>
      <c r="K26" s="2122"/>
      <c r="L26" s="2122"/>
      <c r="M26" s="2122"/>
      <c r="N26" s="2122"/>
      <c r="O26" s="2122"/>
      <c r="P26" s="2122"/>
      <c r="Q26" s="2122"/>
      <c r="R26" s="764"/>
      <c r="S26" s="550" t="b">
        <f>IF(Q40&lt;30%,FALSE,TRUE)</f>
        <v>0</v>
      </c>
      <c r="T26" s="549"/>
      <c r="U26" s="2124"/>
      <c r="W26" s="716">
        <f>+Z26*'FORM 1040-15'!S9+'FORM 1040-21'!AA26*'FORM 1040-15'!S11</f>
        <v>0</v>
      </c>
      <c r="Z26" s="868">
        <v>0</v>
      </c>
      <c r="AA26" s="868">
        <f>IF(S26=TRUE,15,0)</f>
        <v>0</v>
      </c>
    </row>
    <row r="27" spans="1:30" ht="6" customHeight="1" thickTop="1">
      <c r="G27" s="528"/>
      <c r="H27" s="528"/>
      <c r="I27" s="528"/>
      <c r="J27" s="528"/>
      <c r="K27" s="528"/>
      <c r="L27" s="528"/>
      <c r="M27" s="528"/>
      <c r="N27" s="528"/>
      <c r="O27" s="528"/>
      <c r="P27" s="528"/>
      <c r="U27" s="2124"/>
    </row>
    <row r="28" spans="1:30" s="545" customFormat="1" ht="15" customHeight="1" thickBot="1">
      <c r="A28" s="526"/>
      <c r="B28" s="526"/>
      <c r="D28" s="526" t="s">
        <v>63</v>
      </c>
      <c r="E28" s="2135" t="s">
        <v>1799</v>
      </c>
      <c r="F28" s="2135"/>
      <c r="G28" s="2135"/>
      <c r="H28" s="2135"/>
      <c r="I28" s="2135"/>
      <c r="J28" s="2135"/>
      <c r="K28" s="2135"/>
      <c r="L28" s="2135"/>
      <c r="M28" s="551"/>
      <c r="N28" s="1168" t="s">
        <v>294</v>
      </c>
      <c r="O28" s="1097" t="s">
        <v>510</v>
      </c>
      <c r="P28" s="1167"/>
      <c r="Q28" s="553"/>
      <c r="S28" s="1096" t="s">
        <v>174</v>
      </c>
      <c r="U28" s="2124"/>
      <c r="V28" s="2141" t="str">
        <f>IF(AND(M28&gt;0,Q28&gt;0),"ERROR: ONLY ENTER SITE SIZE (10.A.) AS ACRES OR SQUARE FEET, NOT BOTH","")</f>
        <v/>
      </c>
      <c r="W28" s="2142"/>
      <c r="X28" s="2142"/>
      <c r="Y28" s="794"/>
      <c r="Z28" s="797"/>
      <c r="AB28" s="526"/>
      <c r="AC28" s="794"/>
    </row>
    <row r="29" spans="1:30" s="545" customFormat="1" ht="12" customHeight="1" thickTop="1">
      <c r="G29" s="795"/>
      <c r="H29" s="795"/>
      <c r="I29" s="795"/>
      <c r="J29" s="795"/>
      <c r="K29" s="795"/>
      <c r="L29" s="795"/>
      <c r="M29" s="795"/>
      <c r="N29" s="795"/>
      <c r="O29" s="795"/>
      <c r="P29" s="795"/>
      <c r="U29" s="2124"/>
      <c r="V29" s="2141"/>
      <c r="W29" s="2142"/>
      <c r="X29" s="2142"/>
      <c r="Y29" s="794"/>
      <c r="AB29" s="526"/>
      <c r="AC29" s="794"/>
    </row>
    <row r="30" spans="1:30" s="796" customFormat="1" ht="15" customHeight="1" thickBot="1">
      <c r="A30" s="526"/>
      <c r="B30" s="526"/>
      <c r="D30" s="526" t="s">
        <v>64</v>
      </c>
      <c r="E30" s="2135" t="s">
        <v>2810</v>
      </c>
      <c r="F30" s="2135"/>
      <c r="G30" s="2135"/>
      <c r="H30" s="2135"/>
      <c r="I30" s="2135"/>
      <c r="J30" s="2135"/>
      <c r="K30" s="2135"/>
      <c r="L30" s="2135"/>
      <c r="M30" s="2135"/>
      <c r="N30" s="2135"/>
      <c r="O30" s="2135"/>
      <c r="P30" s="2135"/>
      <c r="Q30" s="1370">
        <f>IF(ISNUMBER(M28),M28*43560,Q28)</f>
        <v>0</v>
      </c>
      <c r="R30" s="552"/>
      <c r="S30" s="545" t="s">
        <v>174</v>
      </c>
      <c r="U30" s="2124"/>
      <c r="V30" s="545"/>
      <c r="W30" s="545"/>
      <c r="X30" s="545"/>
      <c r="Y30" s="794"/>
      <c r="Z30" s="554">
        <f>+Q30/43560</f>
        <v>0</v>
      </c>
      <c r="AA30" s="545" t="s">
        <v>885</v>
      </c>
      <c r="AB30" s="526"/>
      <c r="AC30" s="794"/>
      <c r="AD30" s="545"/>
    </row>
    <row r="31" spans="1:30" s="545" customFormat="1" ht="6" customHeight="1" thickTop="1">
      <c r="G31" s="795"/>
      <c r="H31" s="795"/>
      <c r="I31" s="795"/>
      <c r="J31" s="555"/>
      <c r="K31" s="555"/>
      <c r="L31" s="795"/>
      <c r="M31" s="795"/>
      <c r="N31" s="795"/>
      <c r="Q31" s="552"/>
      <c r="R31" s="552"/>
      <c r="S31" s="795"/>
      <c r="U31" s="2124"/>
      <c r="Y31" s="794"/>
      <c r="AB31" s="526"/>
      <c r="AC31" s="794"/>
    </row>
    <row r="32" spans="1:30" s="545" customFormat="1" ht="26.1" customHeight="1" thickBot="1">
      <c r="D32" s="548" t="s">
        <v>67</v>
      </c>
      <c r="E32" s="2140" t="s">
        <v>1800</v>
      </c>
      <c r="F32" s="2140"/>
      <c r="G32" s="2140"/>
      <c r="H32" s="2140"/>
      <c r="I32" s="2140"/>
      <c r="J32" s="2140"/>
      <c r="K32" s="2140"/>
      <c r="L32" s="2140"/>
      <c r="M32" s="2140"/>
      <c r="N32" s="2140"/>
      <c r="O32" s="2140"/>
      <c r="P32" s="2140"/>
      <c r="Q32" s="553"/>
      <c r="R32" s="552"/>
      <c r="S32" s="545" t="s">
        <v>174</v>
      </c>
      <c r="U32" s="2124"/>
      <c r="Y32" s="794"/>
      <c r="AB32" s="526"/>
      <c r="AC32" s="794"/>
    </row>
    <row r="33" spans="1:29" s="545" customFormat="1" ht="6" customHeight="1" thickTop="1">
      <c r="G33" s="795"/>
      <c r="H33" s="795"/>
      <c r="I33" s="795"/>
      <c r="J33" s="555"/>
      <c r="K33" s="555"/>
      <c r="L33" s="795"/>
      <c r="M33" s="795"/>
      <c r="N33" s="795"/>
      <c r="Q33" s="552"/>
      <c r="R33" s="552"/>
      <c r="S33" s="795"/>
      <c r="U33" s="2124"/>
      <c r="Y33" s="794"/>
      <c r="AB33" s="526"/>
      <c r="AC33" s="794"/>
    </row>
    <row r="34" spans="1:29" s="545" customFormat="1" ht="15" customHeight="1" thickBot="1">
      <c r="D34" s="526" t="s">
        <v>92</v>
      </c>
      <c r="E34" s="2135" t="s">
        <v>1801</v>
      </c>
      <c r="F34" s="2135"/>
      <c r="G34" s="2135"/>
      <c r="H34" s="2135"/>
      <c r="I34" s="2135"/>
      <c r="J34" s="2135"/>
      <c r="K34" s="2135"/>
      <c r="L34" s="2135"/>
      <c r="M34" s="2135"/>
      <c r="N34" s="2135"/>
      <c r="O34" s="2135"/>
      <c r="P34" s="2135"/>
      <c r="Q34" s="553"/>
      <c r="R34" s="552"/>
      <c r="S34" s="545" t="s">
        <v>174</v>
      </c>
      <c r="U34" s="2124"/>
      <c r="Y34" s="794"/>
      <c r="AB34" s="526"/>
      <c r="AC34" s="794"/>
    </row>
    <row r="35" spans="1:29" s="545" customFormat="1" ht="6" customHeight="1" thickTop="1">
      <c r="G35" s="795"/>
      <c r="H35" s="795"/>
      <c r="I35" s="795"/>
      <c r="J35" s="555"/>
      <c r="K35" s="555"/>
      <c r="L35" s="795"/>
      <c r="M35" s="795"/>
      <c r="N35" s="795"/>
      <c r="Q35" s="552"/>
      <c r="R35" s="552"/>
      <c r="S35" s="795"/>
      <c r="U35" s="2124"/>
      <c r="Y35" s="794"/>
      <c r="AB35" s="526"/>
      <c r="AC35" s="794"/>
    </row>
    <row r="36" spans="1:29" s="545" customFormat="1" ht="26.1" customHeight="1" thickBot="1">
      <c r="D36" s="548" t="s">
        <v>93</v>
      </c>
      <c r="E36" s="2139" t="s">
        <v>1802</v>
      </c>
      <c r="F36" s="2139"/>
      <c r="G36" s="2139"/>
      <c r="H36" s="2139"/>
      <c r="I36" s="2139"/>
      <c r="J36" s="2139"/>
      <c r="K36" s="2139"/>
      <c r="L36" s="2139"/>
      <c r="M36" s="2139"/>
      <c r="N36" s="2139"/>
      <c r="O36" s="2139"/>
      <c r="P36" s="2139"/>
      <c r="Q36" s="553"/>
      <c r="R36" s="552"/>
      <c r="S36" s="545" t="s">
        <v>174</v>
      </c>
      <c r="U36" s="2124"/>
      <c r="Y36" s="794"/>
      <c r="AB36" s="526"/>
      <c r="AC36" s="794"/>
    </row>
    <row r="37" spans="1:29" s="545" customFormat="1" ht="6" customHeight="1" thickTop="1">
      <c r="G37" s="795"/>
      <c r="H37" s="795"/>
      <c r="I37" s="795"/>
      <c r="J37" s="555"/>
      <c r="K37" s="555"/>
      <c r="L37" s="795"/>
      <c r="M37" s="795"/>
      <c r="N37" s="795"/>
      <c r="Q37" s="552"/>
      <c r="R37" s="552"/>
      <c r="S37" s="795"/>
      <c r="U37" s="2124"/>
      <c r="Y37" s="794"/>
      <c r="AB37" s="526"/>
      <c r="AC37" s="794"/>
    </row>
    <row r="38" spans="1:29" s="545" customFormat="1" ht="15" customHeight="1" thickBot="1">
      <c r="D38" s="526" t="s">
        <v>281</v>
      </c>
      <c r="E38" s="2135" t="s">
        <v>2842</v>
      </c>
      <c r="F38" s="2135"/>
      <c r="G38" s="2135"/>
      <c r="H38" s="2135"/>
      <c r="I38" s="2135"/>
      <c r="J38" s="2135"/>
      <c r="K38" s="2135"/>
      <c r="L38" s="2135"/>
      <c r="M38" s="2135"/>
      <c r="N38" s="2135"/>
      <c r="O38" s="2135"/>
      <c r="P38" s="2135"/>
      <c r="Q38" s="1370">
        <f>+Q30-Q32-Q34-Q36</f>
        <v>0</v>
      </c>
      <c r="R38" s="552"/>
      <c r="S38" s="545" t="s">
        <v>174</v>
      </c>
      <c r="U38" s="2124"/>
      <c r="Y38" s="794"/>
      <c r="AB38" s="526"/>
      <c r="AC38" s="794"/>
    </row>
    <row r="39" spans="1:29" s="545" customFormat="1" ht="6" customHeight="1" thickTop="1">
      <c r="G39" s="795"/>
      <c r="H39" s="795"/>
      <c r="I39" s="795"/>
      <c r="J39" s="555"/>
      <c r="K39" s="555"/>
      <c r="L39" s="795"/>
      <c r="M39" s="795"/>
      <c r="N39" s="795"/>
      <c r="Q39" s="552"/>
      <c r="R39" s="552"/>
      <c r="S39" s="795"/>
      <c r="U39" s="2124"/>
      <c r="Y39" s="794"/>
      <c r="AB39" s="526"/>
      <c r="AC39" s="794"/>
    </row>
    <row r="40" spans="1:29" s="545" customFormat="1" ht="15" customHeight="1" thickBot="1">
      <c r="D40" s="526" t="s">
        <v>282</v>
      </c>
      <c r="E40" s="2135" t="s">
        <v>2811</v>
      </c>
      <c r="F40" s="2135"/>
      <c r="G40" s="2135"/>
      <c r="H40" s="2135"/>
      <c r="I40" s="2135"/>
      <c r="J40" s="2135"/>
      <c r="K40" s="2135"/>
      <c r="L40" s="2135"/>
      <c r="M40" s="2135"/>
      <c r="N40" s="2135"/>
      <c r="O40" s="2135"/>
      <c r="P40" s="2135"/>
      <c r="Q40" s="556">
        <f>IF(ISERROR(AA40),0,AA40)</f>
        <v>0</v>
      </c>
      <c r="R40" s="552"/>
      <c r="S40" s="795"/>
      <c r="U40" s="2128"/>
      <c r="Y40" s="794"/>
      <c r="AA40" s="556" t="e">
        <f>+Q38/(Q30-Q34-Q36)</f>
        <v>#DIV/0!</v>
      </c>
      <c r="AB40" s="526"/>
      <c r="AC40" s="794"/>
    </row>
    <row r="41" spans="1:29" ht="6" customHeight="1" thickTop="1"/>
    <row r="42" spans="1:29" s="541" customFormat="1" ht="15" customHeight="1">
      <c r="A42" s="784"/>
      <c r="C42" s="158">
        <v>10</v>
      </c>
      <c r="D42" s="2136" t="s">
        <v>2812</v>
      </c>
      <c r="E42" s="2136"/>
      <c r="F42" s="2136"/>
      <c r="G42" s="2136"/>
      <c r="H42" s="2136"/>
      <c r="I42" s="2136"/>
      <c r="J42" s="2136"/>
      <c r="K42" s="2136"/>
      <c r="L42" s="2136"/>
      <c r="M42" s="2136"/>
      <c r="N42" s="2136"/>
      <c r="O42" s="2136"/>
      <c r="P42" s="2136"/>
      <c r="Q42" s="2136"/>
      <c r="R42" s="2136"/>
      <c r="S42" s="2136"/>
      <c r="T42" s="785"/>
      <c r="U42" s="789"/>
      <c r="Y42" s="543"/>
      <c r="Z42" s="542"/>
      <c r="AA42" s="542"/>
      <c r="AB42" s="526"/>
      <c r="AC42" s="543"/>
    </row>
    <row r="43" spans="1:29" s="541" customFormat="1" ht="6" customHeight="1" thickBot="1">
      <c r="A43" s="784"/>
      <c r="C43" s="303"/>
      <c r="D43" s="786"/>
      <c r="E43" s="786"/>
      <c r="F43" s="786"/>
      <c r="G43" s="786"/>
      <c r="H43" s="786"/>
      <c r="I43" s="786"/>
      <c r="J43" s="786"/>
      <c r="K43" s="786"/>
      <c r="L43" s="786"/>
      <c r="M43" s="786"/>
      <c r="N43" s="786"/>
      <c r="O43" s="786"/>
      <c r="P43" s="786"/>
      <c r="Q43" s="785"/>
      <c r="R43" s="785"/>
      <c r="T43" s="785"/>
      <c r="U43" s="789"/>
      <c r="Y43" s="543"/>
      <c r="Z43" s="542"/>
      <c r="AA43" s="542"/>
      <c r="AB43" s="526"/>
      <c r="AC43" s="543"/>
    </row>
    <row r="44" spans="1:29" s="541" customFormat="1" ht="65.099999999999994" customHeight="1" thickBot="1">
      <c r="A44" s="784"/>
      <c r="C44" s="303"/>
      <c r="D44" s="788" t="s">
        <v>63</v>
      </c>
      <c r="E44" s="1752" t="s">
        <v>2813</v>
      </c>
      <c r="F44" s="1752"/>
      <c r="G44" s="1752"/>
      <c r="H44" s="1752"/>
      <c r="I44" s="1752"/>
      <c r="J44" s="1752"/>
      <c r="K44" s="1752"/>
      <c r="L44" s="1752"/>
      <c r="M44" s="1752"/>
      <c r="N44" s="1752"/>
      <c r="O44" s="1752"/>
      <c r="P44" s="1752"/>
      <c r="Q44" s="1752"/>
      <c r="R44" s="785"/>
      <c r="S44" s="762"/>
      <c r="T44" s="785"/>
      <c r="U44" s="2123" t="s">
        <v>1796</v>
      </c>
      <c r="W44" s="425">
        <f>IF((S44=TRUE),10,0)</f>
        <v>0</v>
      </c>
      <c r="X44" s="2133" t="str">
        <f>IF(AND(S44=TRUE,S50=TRUE),"ERROR: ONLY ANSWER TRUE IN 7.A. OR 7.C., NOT BOTH","")</f>
        <v/>
      </c>
      <c r="Y44" s="543"/>
      <c r="Z44" s="542"/>
      <c r="AA44" s="542"/>
      <c r="AB44" s="526"/>
      <c r="AC44" s="543"/>
    </row>
    <row r="45" spans="1:29" s="541" customFormat="1" ht="6" customHeight="1" thickTop="1">
      <c r="A45" s="784"/>
      <c r="C45" s="303"/>
      <c r="D45" s="786"/>
      <c r="E45" s="542"/>
      <c r="F45" s="542"/>
      <c r="G45" s="542"/>
      <c r="H45" s="542"/>
      <c r="I45" s="542"/>
      <c r="J45" s="542"/>
      <c r="K45" s="542"/>
      <c r="L45" s="542"/>
      <c r="M45" s="542"/>
      <c r="N45" s="542"/>
      <c r="O45" s="542"/>
      <c r="P45" s="542"/>
      <c r="Q45" s="542"/>
      <c r="R45" s="785"/>
      <c r="T45" s="785"/>
      <c r="U45" s="2124"/>
      <c r="X45" s="2133"/>
      <c r="Y45" s="543"/>
      <c r="Z45" s="542"/>
      <c r="AA45" s="542"/>
      <c r="AB45" s="526"/>
      <c r="AC45" s="543"/>
    </row>
    <row r="46" spans="1:29" s="541" customFormat="1" ht="65.099999999999994" customHeight="1" thickBot="1">
      <c r="A46" s="784"/>
      <c r="C46" s="303"/>
      <c r="D46" s="788" t="s">
        <v>64</v>
      </c>
      <c r="E46" s="2126" t="s">
        <v>2843</v>
      </c>
      <c r="F46" s="2126"/>
      <c r="G46" s="2126"/>
      <c r="H46" s="2126"/>
      <c r="I46" s="2126"/>
      <c r="J46" s="2126"/>
      <c r="K46" s="2126"/>
      <c r="L46" s="2126"/>
      <c r="M46" s="2126"/>
      <c r="N46" s="2126"/>
      <c r="O46" s="2126"/>
      <c r="P46" s="2126"/>
      <c r="Q46" s="2126"/>
      <c r="R46" s="785"/>
      <c r="S46" s="748"/>
      <c r="T46" s="785"/>
      <c r="U46" s="2124"/>
      <c r="W46" s="793"/>
      <c r="X46" s="2133"/>
      <c r="Y46" s="543"/>
      <c r="Z46" s="542"/>
      <c r="AA46" s="542"/>
      <c r="AB46" s="526"/>
      <c r="AC46" s="543"/>
    </row>
    <row r="47" spans="1:29" s="541" customFormat="1" ht="6" customHeight="1" thickTop="1">
      <c r="A47" s="784"/>
      <c r="C47" s="303"/>
      <c r="D47" s="788"/>
      <c r="E47" s="791"/>
      <c r="F47" s="791"/>
      <c r="G47" s="791"/>
      <c r="H47" s="791"/>
      <c r="I47" s="791"/>
      <c r="J47" s="791"/>
      <c r="K47" s="791"/>
      <c r="L47" s="791"/>
      <c r="M47" s="791"/>
      <c r="N47" s="791"/>
      <c r="O47" s="791"/>
      <c r="P47" s="791"/>
      <c r="Q47" s="791"/>
      <c r="R47" s="785"/>
      <c r="T47" s="785"/>
      <c r="U47" s="2124"/>
      <c r="X47" s="2133"/>
      <c r="Y47" s="543"/>
      <c r="Z47" s="781"/>
      <c r="AA47" s="781"/>
      <c r="AB47" s="782"/>
      <c r="AC47" s="543"/>
    </row>
    <row r="48" spans="1:29" s="541" customFormat="1" ht="12" customHeight="1">
      <c r="A48" s="784"/>
      <c r="C48" s="303"/>
      <c r="D48" s="786"/>
      <c r="E48" s="2137" t="s">
        <v>798</v>
      </c>
      <c r="F48" s="2138"/>
      <c r="G48" s="2138"/>
      <c r="H48" s="2138"/>
      <c r="I48" s="2138"/>
      <c r="J48" s="2138"/>
      <c r="K48" s="2138"/>
      <c r="L48" s="2138"/>
      <c r="M48" s="2138"/>
      <c r="N48" s="2138"/>
      <c r="O48" s="2138"/>
      <c r="P48" s="2138"/>
      <c r="Q48" s="2138"/>
      <c r="R48" s="785"/>
      <c r="T48" s="785"/>
      <c r="U48" s="2124"/>
      <c r="W48" s="452" t="s">
        <v>798</v>
      </c>
      <c r="X48" s="2133"/>
      <c r="Y48" s="543"/>
      <c r="Z48" s="542"/>
      <c r="AA48" s="542"/>
      <c r="AB48" s="526"/>
      <c r="AC48" s="543"/>
    </row>
    <row r="49" spans="1:29" s="541" customFormat="1" ht="6" customHeight="1" thickBot="1">
      <c r="A49" s="784"/>
      <c r="C49" s="303"/>
      <c r="D49" s="786"/>
      <c r="E49" s="792"/>
      <c r="F49" s="787"/>
      <c r="G49" s="787"/>
      <c r="H49" s="787"/>
      <c r="I49" s="787"/>
      <c r="J49" s="787"/>
      <c r="K49" s="787"/>
      <c r="L49" s="787"/>
      <c r="M49" s="787"/>
      <c r="N49" s="787"/>
      <c r="O49" s="787"/>
      <c r="P49" s="787"/>
      <c r="Q49" s="787"/>
      <c r="R49" s="785"/>
      <c r="T49" s="785"/>
      <c r="U49" s="2124"/>
      <c r="W49" s="436"/>
      <c r="X49" s="2133"/>
      <c r="Y49" s="543"/>
      <c r="Z49" s="781"/>
      <c r="AA49" s="781"/>
      <c r="AB49" s="782"/>
      <c r="AC49" s="543"/>
    </row>
    <row r="50" spans="1:29" s="541" customFormat="1" ht="53.1" customHeight="1" thickBot="1">
      <c r="A50" s="784"/>
      <c r="C50" s="303"/>
      <c r="D50" s="788" t="s">
        <v>67</v>
      </c>
      <c r="E50" s="2136" t="s">
        <v>1945</v>
      </c>
      <c r="F50" s="2136"/>
      <c r="G50" s="2136"/>
      <c r="H50" s="2136"/>
      <c r="I50" s="2136"/>
      <c r="J50" s="2136"/>
      <c r="K50" s="2136"/>
      <c r="L50" s="2136"/>
      <c r="M50" s="2136"/>
      <c r="N50" s="2136"/>
      <c r="O50" s="2136"/>
      <c r="P50" s="2136"/>
      <c r="Q50" s="2136"/>
      <c r="R50" s="785"/>
      <c r="S50" s="748"/>
      <c r="T50" s="785"/>
      <c r="U50" s="2128"/>
      <c r="W50" s="425">
        <f>IF((S50=TRUE),7,0)</f>
        <v>0</v>
      </c>
      <c r="X50" s="2133"/>
      <c r="Y50" s="543"/>
      <c r="Z50" s="750">
        <f>MAX(W44,W50)</f>
        <v>0</v>
      </c>
      <c r="AA50" s="758" t="s">
        <v>941</v>
      </c>
      <c r="AB50" s="526"/>
      <c r="AC50" s="543"/>
    </row>
    <row r="51" spans="1:29" s="541" customFormat="1" ht="6" customHeight="1" thickTop="1">
      <c r="A51" s="784"/>
      <c r="C51" s="303"/>
      <c r="D51" s="786"/>
      <c r="E51" s="786"/>
      <c r="F51" s="786"/>
      <c r="G51" s="786"/>
      <c r="H51" s="786"/>
      <c r="I51" s="786"/>
      <c r="J51" s="786"/>
      <c r="K51" s="786"/>
      <c r="L51" s="786"/>
      <c r="M51" s="786"/>
      <c r="N51" s="786"/>
      <c r="O51" s="786"/>
      <c r="P51" s="786"/>
      <c r="Q51" s="785"/>
      <c r="R51" s="785"/>
      <c r="T51" s="785"/>
      <c r="U51" s="789"/>
      <c r="Y51" s="543"/>
      <c r="Z51" s="542"/>
      <c r="AA51" s="542"/>
      <c r="AB51" s="526"/>
      <c r="AC51" s="543"/>
    </row>
  </sheetData>
  <sheetProtection algorithmName="SHA-512" hashValue="QqKiHBemn0b1vR5msRLPtuzYa4ij2uzF7gcB5mMut66LlLIMiJdVCkn+0ZLElqDi3oDHUzwbuCE9GGJvml2EsA==" saltValue="QfIAeBlkZSdp5g4zvZjbMQ==" spinCount="100000" sheet="1" objects="1" scenarios="1"/>
  <mergeCells count="34">
    <mergeCell ref="X12:X18"/>
    <mergeCell ref="V28:X29"/>
    <mergeCell ref="I3:U3"/>
    <mergeCell ref="D6:S6"/>
    <mergeCell ref="D8:Q8"/>
    <mergeCell ref="U6:U8"/>
    <mergeCell ref="V1:X4"/>
    <mergeCell ref="U44:U50"/>
    <mergeCell ref="E28:L28"/>
    <mergeCell ref="D10:Q10"/>
    <mergeCell ref="E12:Q12"/>
    <mergeCell ref="E18:Q18"/>
    <mergeCell ref="E16:Q16"/>
    <mergeCell ref="E34:P34"/>
    <mergeCell ref="E30:P30"/>
    <mergeCell ref="U20:U22"/>
    <mergeCell ref="U10:U18"/>
    <mergeCell ref="D22:Q22"/>
    <mergeCell ref="X44:X50"/>
    <mergeCell ref="D20:Q20"/>
    <mergeCell ref="C3:H3"/>
    <mergeCell ref="D42:S42"/>
    <mergeCell ref="E44:Q44"/>
    <mergeCell ref="E46:Q46"/>
    <mergeCell ref="E48:Q48"/>
    <mergeCell ref="E38:P38"/>
    <mergeCell ref="E14:Q14"/>
    <mergeCell ref="E40:P40"/>
    <mergeCell ref="E50:Q50"/>
    <mergeCell ref="D24:S24"/>
    <mergeCell ref="U24:U40"/>
    <mergeCell ref="D26:Q26"/>
    <mergeCell ref="E36:P36"/>
    <mergeCell ref="E32:P32"/>
  </mergeCells>
  <dataValidations count="2">
    <dataValidation type="list" allowBlank="1" showInputMessage="1" showErrorMessage="1" sqref="S22 S8 S44 S12" xr:uid="{00000000-0002-0000-2000-000000000000}">
      <formula1>$AA$3:$AA$4</formula1>
    </dataValidation>
    <dataValidation type="list" allowBlank="1" showInputMessage="1" showErrorMessage="1" sqref="S46 S50 S14 S18" xr:uid="{00000000-0002-0000-2000-000001000000}">
      <formula1>$AB$3:$AB$5</formula1>
    </dataValidation>
  </dataValidations>
  <pageMargins left="0.75" right="0.5" top="0.5" bottom="0.75" header="0" footer="0.5"/>
  <pageSetup scale="80" orientation="portrait" r:id="rId1"/>
  <headerFooter alignWithMargins="0">
    <oddFooter>&amp;C&amp;A&amp;R&amp;D &amp;T</oddFooter>
  </headerFooter>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9">
    <pageSetUpPr fitToPage="1"/>
  </sheetPr>
  <dimension ref="A1:AP1048571"/>
  <sheetViews>
    <sheetView zoomScaleNormal="100" workbookViewId="0"/>
  </sheetViews>
  <sheetFormatPr defaultColWidth="10.7109375" defaultRowHeight="15" customHeight="1"/>
  <cols>
    <col min="1" max="1" width="4.7109375" style="4" customWidth="1"/>
    <col min="2" max="2" width="2.7109375" style="4" customWidth="1"/>
    <col min="3" max="3" width="3.5703125" style="4" customWidth="1"/>
    <col min="4" max="4" width="2.7109375" style="4" customWidth="1"/>
    <col min="5" max="5" width="12.7109375" style="4" customWidth="1"/>
    <col min="6" max="6" width="8.7109375" style="4" customWidth="1"/>
    <col min="7" max="7" width="11.7109375" style="1515" customWidth="1"/>
    <col min="8" max="8" width="11.7109375" style="4" customWidth="1"/>
    <col min="9" max="9" width="29.7109375" style="4" customWidth="1"/>
    <col min="10" max="10" width="4.7109375" style="4" customWidth="1"/>
    <col min="11" max="11" width="12.7109375" style="4" customWidth="1"/>
    <col min="12" max="12" width="1.7109375" style="4" customWidth="1"/>
    <col min="13" max="13" width="10.28515625" style="4" customWidth="1"/>
    <col min="14" max="16" width="10.7109375" style="4" customWidth="1"/>
    <col min="17" max="17" width="5.7109375" style="6" customWidth="1"/>
    <col min="18" max="18" width="10.7109375" style="4" hidden="1" customWidth="1"/>
    <col min="19" max="19" width="31.42578125" style="12" hidden="1" customWidth="1"/>
    <col min="20" max="26" width="10.7109375" style="774" hidden="1" customWidth="1"/>
    <col min="27" max="27" width="10.7109375" style="12" hidden="1" customWidth="1"/>
    <col min="28" max="28" width="10.7109375" style="774" hidden="1" customWidth="1"/>
    <col min="29" max="29" width="10.7109375" style="12" hidden="1" customWidth="1"/>
    <col min="30" max="30" width="10.7109375" style="774" hidden="1" customWidth="1"/>
    <col min="31" max="41" width="10.7109375" style="1038" hidden="1" customWidth="1"/>
    <col min="42" max="42" width="5.7109375" style="6" customWidth="1"/>
    <col min="43" max="52" width="10.7109375" style="4" customWidth="1"/>
    <col min="53" max="16384" width="10.7109375" style="4"/>
  </cols>
  <sheetData>
    <row r="1" spans="1:42" s="814" customFormat="1" ht="15" customHeight="1">
      <c r="A1" s="1302" t="str">
        <f>IF('FORM 1040-1'!D15="","",'FORM 1040-1'!D15)</f>
        <v/>
      </c>
      <c r="B1" s="1303"/>
      <c r="C1" s="1303"/>
      <c r="D1" s="1303"/>
      <c r="E1" s="1303"/>
      <c r="F1" s="1303"/>
      <c r="G1" s="1303"/>
      <c r="H1" s="1303"/>
      <c r="I1" s="1303"/>
      <c r="J1" s="1303"/>
      <c r="K1" s="1303"/>
      <c r="L1" s="1303"/>
      <c r="M1" s="1294" t="str">
        <f>IF('FORM 1040-1'!$E$12="","",'FORM 1040-1'!$E$12)</f>
        <v/>
      </c>
      <c r="N1" s="2072" t="s">
        <v>1621</v>
      </c>
      <c r="O1" s="2072"/>
      <c r="P1" s="2072"/>
      <c r="Q1" s="6"/>
      <c r="S1" s="801"/>
      <c r="T1" s="801"/>
      <c r="U1" s="801"/>
      <c r="V1" s="801"/>
      <c r="W1" s="801"/>
      <c r="X1" s="801"/>
      <c r="Y1" s="801"/>
      <c r="Z1" s="801"/>
      <c r="AA1" s="801"/>
      <c r="AB1" s="801"/>
      <c r="AC1" s="801"/>
      <c r="AD1" s="801"/>
      <c r="AE1" s="1038"/>
      <c r="AF1" s="1038"/>
      <c r="AG1" s="1038"/>
      <c r="AH1" s="1038"/>
      <c r="AI1" s="1038"/>
      <c r="AJ1" s="1038"/>
      <c r="AK1" s="1038"/>
      <c r="AL1" s="1038"/>
      <c r="AM1" s="1038"/>
      <c r="AN1" s="1038"/>
      <c r="AO1" s="1038"/>
      <c r="AP1" s="6"/>
    </row>
    <row r="2" spans="1:42" s="814" customFormat="1" ht="15" customHeight="1">
      <c r="G2" s="1515"/>
      <c r="N2" s="2072"/>
      <c r="O2" s="2072"/>
      <c r="P2" s="2072"/>
      <c r="Q2" s="6"/>
      <c r="S2" s="801"/>
      <c r="T2" s="801"/>
      <c r="U2" s="801"/>
      <c r="V2" s="801"/>
      <c r="W2" s="801"/>
      <c r="X2" s="801"/>
      <c r="Y2" s="801"/>
      <c r="Z2" s="801"/>
      <c r="AA2" s="801"/>
      <c r="AB2" s="801"/>
      <c r="AC2" s="801"/>
      <c r="AD2" s="801"/>
      <c r="AE2" s="1038"/>
      <c r="AF2" s="1038"/>
      <c r="AG2" s="1038"/>
      <c r="AH2" s="1038"/>
      <c r="AI2" s="1038"/>
      <c r="AJ2" s="1038"/>
      <c r="AK2" s="1038"/>
      <c r="AL2" s="1038"/>
      <c r="AM2" s="1038"/>
      <c r="AN2" s="1038"/>
      <c r="AO2" s="1038"/>
      <c r="AP2" s="6"/>
    </row>
    <row r="3" spans="1:42" ht="15" customHeight="1" thickBot="1">
      <c r="A3" s="12" t="s">
        <v>21</v>
      </c>
      <c r="B3" s="85" t="s">
        <v>112</v>
      </c>
      <c r="C3" s="2131" t="s">
        <v>298</v>
      </c>
      <c r="D3" s="2131"/>
      <c r="E3" s="2131"/>
      <c r="F3" s="2158" t="str">
        <f>IF('FORM 1040-20'!I7="","",('FORM 1040-20'!I7))</f>
        <v/>
      </c>
      <c r="G3" s="2158"/>
      <c r="H3" s="2158"/>
      <c r="I3" s="2158"/>
      <c r="J3" s="2158"/>
      <c r="K3" s="2158"/>
      <c r="L3" s="2158"/>
      <c r="M3" s="2158"/>
      <c r="N3" s="2072"/>
      <c r="O3" s="2072"/>
      <c r="P3" s="2072"/>
      <c r="S3" s="293" t="s">
        <v>1919</v>
      </c>
      <c r="T3" s="293" t="s">
        <v>116</v>
      </c>
      <c r="U3" s="293" t="b">
        <v>1</v>
      </c>
      <c r="V3" s="293"/>
      <c r="W3" s="293"/>
      <c r="X3" s="293"/>
      <c r="Y3" s="293"/>
      <c r="Z3" s="293"/>
      <c r="AC3" s="12" t="s">
        <v>1819</v>
      </c>
      <c r="AD3" s="774" t="s">
        <v>1820</v>
      </c>
    </row>
    <row r="4" spans="1:42" ht="6" customHeight="1" thickTop="1">
      <c r="N4" s="2072"/>
      <c r="O4" s="2072"/>
      <c r="P4" s="2072"/>
      <c r="S4" s="293" t="s">
        <v>354</v>
      </c>
      <c r="T4" s="293" t="s">
        <v>117</v>
      </c>
      <c r="U4" s="293" t="b">
        <v>0</v>
      </c>
      <c r="V4" s="293"/>
      <c r="W4" s="293"/>
      <c r="X4" s="293"/>
      <c r="Y4" s="293"/>
      <c r="Z4" s="293"/>
      <c r="AA4" s="12" t="s">
        <v>117</v>
      </c>
      <c r="AB4" s="774" t="s">
        <v>2656</v>
      </c>
      <c r="AC4" s="12">
        <v>650</v>
      </c>
      <c r="AD4" s="774">
        <v>10000</v>
      </c>
    </row>
    <row r="5" spans="1:42" ht="12.95" customHeight="1" thickBot="1">
      <c r="K5" s="526"/>
      <c r="L5" s="526"/>
      <c r="M5" s="526" t="s">
        <v>812</v>
      </c>
      <c r="O5" s="424" t="s">
        <v>795</v>
      </c>
      <c r="S5" s="293" t="s">
        <v>1810</v>
      </c>
      <c r="T5" s="293" t="s">
        <v>118</v>
      </c>
      <c r="AA5" s="1427" t="s">
        <v>117</v>
      </c>
      <c r="AB5" s="1427" t="s">
        <v>1813</v>
      </c>
      <c r="AC5" s="1427">
        <v>600</v>
      </c>
      <c r="AD5" s="1427">
        <v>10000</v>
      </c>
    </row>
    <row r="6" spans="1:42" ht="15" customHeight="1">
      <c r="C6" s="132">
        <v>11</v>
      </c>
      <c r="D6" s="1593" t="s">
        <v>1803</v>
      </c>
      <c r="E6" s="1593"/>
      <c r="F6" s="1593"/>
      <c r="G6" s="1593"/>
      <c r="H6" s="1593"/>
      <c r="I6" s="1593"/>
      <c r="J6" s="1593"/>
      <c r="K6" s="1593"/>
      <c r="L6" s="37"/>
      <c r="M6" s="2123" t="s">
        <v>1796</v>
      </c>
      <c r="S6" s="293" t="s">
        <v>1920</v>
      </c>
      <c r="T6" s="293" t="s">
        <v>119</v>
      </c>
      <c r="AA6" s="1427" t="s">
        <v>117</v>
      </c>
      <c r="AB6" s="1427" t="s">
        <v>1814</v>
      </c>
      <c r="AC6" s="1427">
        <v>650</v>
      </c>
      <c r="AD6" s="1427">
        <f>+AC6+150</f>
        <v>800</v>
      </c>
    </row>
    <row r="7" spans="1:42" ht="6" customHeight="1">
      <c r="L7" s="8"/>
      <c r="M7" s="2124"/>
      <c r="N7" s="8"/>
      <c r="T7" s="293" t="s">
        <v>120</v>
      </c>
      <c r="AA7" s="1427" t="s">
        <v>118</v>
      </c>
      <c r="AB7" s="1427" t="s">
        <v>2656</v>
      </c>
      <c r="AC7" s="1427">
        <v>800</v>
      </c>
      <c r="AD7" s="1427">
        <v>10000</v>
      </c>
    </row>
    <row r="8" spans="1:42" s="758" customFormat="1" ht="15" customHeight="1" thickBot="1">
      <c r="D8" s="85" t="s">
        <v>63</v>
      </c>
      <c r="E8" s="1696" t="s">
        <v>1809</v>
      </c>
      <c r="F8" s="1696"/>
      <c r="G8" s="1696"/>
      <c r="H8" s="1696"/>
      <c r="I8" s="1696"/>
      <c r="J8" s="1696"/>
      <c r="K8" s="1696"/>
      <c r="L8" s="8"/>
      <c r="M8" s="2124"/>
      <c r="N8" s="8"/>
      <c r="Q8" s="6"/>
      <c r="S8" s="1593" t="s">
        <v>1740</v>
      </c>
      <c r="T8" s="1593"/>
      <c r="U8" s="1593"/>
      <c r="V8" s="1593"/>
      <c r="W8" s="1593"/>
      <c r="X8" s="1593"/>
      <c r="Y8" s="1593"/>
      <c r="Z8" s="774"/>
      <c r="AA8" s="1427" t="s">
        <v>118</v>
      </c>
      <c r="AB8" s="1427" t="s">
        <v>1813</v>
      </c>
      <c r="AC8" s="1427">
        <v>750</v>
      </c>
      <c r="AD8" s="1427">
        <v>10000</v>
      </c>
      <c r="AE8" s="1038"/>
      <c r="AF8" s="1038"/>
      <c r="AG8" s="1038"/>
      <c r="AH8" s="1038"/>
      <c r="AI8" s="1038"/>
      <c r="AJ8" s="1038"/>
      <c r="AK8" s="1038"/>
      <c r="AL8" s="1038"/>
      <c r="AM8" s="1038"/>
      <c r="AN8" s="1038"/>
      <c r="AO8" s="1038"/>
      <c r="AP8" s="6"/>
    </row>
    <row r="9" spans="1:42" ht="66.95" customHeight="1" thickTop="1" thickBot="1">
      <c r="D9" s="206"/>
      <c r="E9" s="754" t="s">
        <v>179</v>
      </c>
      <c r="F9" s="754" t="s">
        <v>180</v>
      </c>
      <c r="G9" s="1521" t="s">
        <v>2748</v>
      </c>
      <c r="H9" s="536" t="s">
        <v>2654</v>
      </c>
      <c r="I9" s="536" t="s">
        <v>1812</v>
      </c>
      <c r="J9" s="1764" t="s">
        <v>2655</v>
      </c>
      <c r="K9" s="2006"/>
      <c r="L9" s="306"/>
      <c r="M9" s="2124"/>
      <c r="N9" s="306"/>
      <c r="S9" s="448" t="s">
        <v>1821</v>
      </c>
      <c r="T9" s="448" t="s">
        <v>1815</v>
      </c>
      <c r="U9" s="448" t="s">
        <v>1817</v>
      </c>
      <c r="V9" s="448" t="s">
        <v>1818</v>
      </c>
      <c r="W9" s="448" t="s">
        <v>813</v>
      </c>
      <c r="X9" s="448" t="s">
        <v>1823</v>
      </c>
      <c r="Y9" s="448"/>
      <c r="Z9" s="448"/>
      <c r="AA9" s="1427" t="s">
        <v>118</v>
      </c>
      <c r="AB9" s="1427" t="s">
        <v>1814</v>
      </c>
      <c r="AC9" s="1427">
        <v>800</v>
      </c>
      <c r="AD9" s="1427">
        <f>+AC9+150</f>
        <v>950</v>
      </c>
    </row>
    <row r="10" spans="1:42" ht="15" customHeight="1" thickTop="1" thickBot="1">
      <c r="D10" s="52">
        <v>1</v>
      </c>
      <c r="E10" s="754" t="str">
        <f>IF('FORM 1040-2'!N7="","",('FORM 1040-2'!N7))</f>
        <v/>
      </c>
      <c r="F10" s="754" t="str">
        <f>IF('FORM 1040-2'!O7="","",('FORM 1040-2'!O7))</f>
        <v/>
      </c>
      <c r="G10" s="1592"/>
      <c r="H10" s="538" t="str">
        <f>IF('FORM 1040-2'!R7="","",('FORM 1040-2'!R7)-G10)</f>
        <v/>
      </c>
      <c r="I10" s="846" t="str">
        <f>IF('FORM 1040-2'!D7="","",('FORM 1040-2'!D7))</f>
        <v/>
      </c>
      <c r="J10" s="2146" t="str">
        <f>IF(S10="","",(S10))</f>
        <v/>
      </c>
      <c r="K10" s="2147"/>
      <c r="L10" s="539"/>
      <c r="M10" s="2124"/>
      <c r="N10" s="539"/>
      <c r="R10" s="52">
        <v>1</v>
      </c>
      <c r="S10" s="540" t="str">
        <f t="shared" ref="S10:S44" si="0">IF(Y10="Enter Unit Detail on Pg 2",Y10,IF(ISERROR(W10),"",W10))</f>
        <v/>
      </c>
      <c r="T10" s="540" t="str">
        <f>IF(I10="Rehab of Existing Low-Income Housing","EXISTING",IF(I10="New Construction","NEW",IF(I10="Adaptive Re-Use","ADREUSE",IF(I10="Rehab of Existing Housing","EXISTING","BLANK"))))</f>
        <v>BLANK</v>
      </c>
      <c r="U10" s="819" t="e">
        <f t="array" ref="U10">INDEX($AA$4:$AC$18,MATCH(1,($AA$4:$AA$18=E10)*($AB$4:$AB$18=T10),0),3)</f>
        <v>#N/A</v>
      </c>
      <c r="V10" s="819" t="e">
        <f t="array" ref="V10">INDEX($AA$4:$AD$18,MATCH(1,($AA$4:$AA$18=E10)*($AB$4:$AB$18=T10),0),4)</f>
        <v>#N/A</v>
      </c>
      <c r="W10" s="820" t="e">
        <f>IF(AND(U10&lt;=H10,H10&lt;=V10),"Yes","No")</f>
        <v>#N/A</v>
      </c>
      <c r="X10" s="820" t="b">
        <f t="shared" ref="X10:X19" si="1">IF(OR(I10="Rehab of Existing Low-Income Housing",I10="New Construction",I10="Adaptive Re-Use",I10="Rehab of Existing Housing"),FALSE,TRUE)</f>
        <v>1</v>
      </c>
      <c r="Y10" s="820">
        <f t="shared" ref="Y10:Y44" si="2">IF(AND(E10&lt;&gt;"",X10=TRUE),"Enter Unit Detail on Pg 2",0)</f>
        <v>0</v>
      </c>
      <c r="Z10" s="820" t="b">
        <f>IF(OR(J10="No",J10="Must Enter Unit Detail on Page 2"),FALSE,TRUE)</f>
        <v>1</v>
      </c>
      <c r="AA10" s="1427" t="s">
        <v>119</v>
      </c>
      <c r="AB10" s="1427" t="s">
        <v>2656</v>
      </c>
      <c r="AC10" s="1427">
        <v>1000</v>
      </c>
      <c r="AD10" s="1427">
        <v>10000</v>
      </c>
    </row>
    <row r="11" spans="1:42" ht="15" customHeight="1" thickTop="1" thickBot="1">
      <c r="D11" s="52">
        <v>2</v>
      </c>
      <c r="E11" s="754" t="str">
        <f>IF('FORM 1040-2'!N8="","",('FORM 1040-2'!N8))</f>
        <v/>
      </c>
      <c r="F11" s="754" t="str">
        <f>IF('FORM 1040-2'!O8="","",('FORM 1040-2'!O8))</f>
        <v/>
      </c>
      <c r="G11" s="1592"/>
      <c r="H11" s="538" t="str">
        <f>IF('FORM 1040-2'!R8="","",('FORM 1040-2'!R8)-G11)</f>
        <v/>
      </c>
      <c r="I11" s="846" t="str">
        <f>IF('FORM 1040-2'!D8="","",('FORM 1040-2'!D8))</f>
        <v/>
      </c>
      <c r="J11" s="2146" t="str">
        <f t="shared" ref="J11:J44" si="3">IF(S11="","",(S11))</f>
        <v/>
      </c>
      <c r="K11" s="2147"/>
      <c r="L11" s="537"/>
      <c r="M11" s="2124"/>
      <c r="N11" s="537"/>
      <c r="R11" s="52">
        <v>2</v>
      </c>
      <c r="S11" s="540" t="str">
        <f t="shared" si="0"/>
        <v/>
      </c>
      <c r="T11" s="540" t="str">
        <f>IF(I11="Rehab of Existing Low-Income Housing","EXISTING",IF(I11="New Construction","NEW",IF(I11="Adaptive Re-Use","ADREUSE",IF(I11="Rehab of Existing Housing","EXISTING","BLANK"))))</f>
        <v>BLANK</v>
      </c>
      <c r="U11" s="819" t="e">
        <f t="array" ref="U11">INDEX($AA$4:$AC$18,MATCH(1,($AA$4:$AA$18=E11)*($AB$4:$AB$18=T11),0),3)</f>
        <v>#N/A</v>
      </c>
      <c r="V11" s="819" t="e">
        <f t="array" ref="V11">INDEX($AA$4:$AD$18,MATCH(1,($AA$4:$AA$18=E11)*($AB$4:$AB$18=T11),0),4)</f>
        <v>#N/A</v>
      </c>
      <c r="W11" s="820" t="e">
        <f t="shared" ref="W11:W44" si="4">IF(AND(U11&lt;=H11,H11&lt;=V11),"Yes","No")</f>
        <v>#N/A</v>
      </c>
      <c r="X11" s="820" t="b">
        <f t="shared" si="1"/>
        <v>1</v>
      </c>
      <c r="Y11" s="820">
        <f t="shared" si="2"/>
        <v>0</v>
      </c>
      <c r="Z11" s="820" t="b">
        <f t="shared" ref="Z11:Z44" si="5">IF(OR(J11="No",J11="Must Enter Unit Detail on Page 2"),FALSE,TRUE)</f>
        <v>1</v>
      </c>
      <c r="AA11" s="1427" t="s">
        <v>119</v>
      </c>
      <c r="AB11" s="1427" t="s">
        <v>1813</v>
      </c>
      <c r="AC11" s="1427">
        <v>950</v>
      </c>
      <c r="AD11" s="1427">
        <v>10000</v>
      </c>
    </row>
    <row r="12" spans="1:42" ht="15" customHeight="1" thickTop="1" thickBot="1">
      <c r="D12" s="52">
        <v>3</v>
      </c>
      <c r="E12" s="754" t="str">
        <f>IF('FORM 1040-2'!N9="","",('FORM 1040-2'!N9))</f>
        <v/>
      </c>
      <c r="F12" s="754" t="str">
        <f>IF('FORM 1040-2'!O9="","",('FORM 1040-2'!O9))</f>
        <v/>
      </c>
      <c r="G12" s="1592"/>
      <c r="H12" s="538" t="str">
        <f>IF('FORM 1040-2'!R9="","",('FORM 1040-2'!R9)-G12)</f>
        <v/>
      </c>
      <c r="I12" s="846" t="str">
        <f>IF('FORM 1040-2'!D9="","",('FORM 1040-2'!D9))</f>
        <v/>
      </c>
      <c r="J12" s="2146" t="str">
        <f t="shared" si="3"/>
        <v/>
      </c>
      <c r="K12" s="2147"/>
      <c r="L12" s="537"/>
      <c r="M12" s="2124"/>
      <c r="N12" s="537"/>
      <c r="R12" s="52">
        <v>3</v>
      </c>
      <c r="S12" s="540" t="str">
        <f t="shared" si="0"/>
        <v/>
      </c>
      <c r="T12" s="540" t="str">
        <f>IF(I12="Rehab of Existing Low-Income Housing","EXISTING",IF(I12="New Construction","NEW",IF(I12="Adaptive Re-Use","ADREUSE",IF(I12="Rehab of Existing Housing","EXISTING","BLANK"))))</f>
        <v>BLANK</v>
      </c>
      <c r="U12" s="819" t="e">
        <f t="array" ref="U12">INDEX($AA$4:$AC$18,MATCH(1,($AA$4:$AA$18=E12)*($AB$4:$AB$18=T12),0),3)</f>
        <v>#N/A</v>
      </c>
      <c r="V12" s="819" t="e">
        <f t="array" ref="V12">INDEX($AA$4:$AD$18,MATCH(1,($AA$4:$AA$18=E12)*($AB$4:$AB$18=T12),0),4)</f>
        <v>#N/A</v>
      </c>
      <c r="W12" s="820" t="e">
        <f t="shared" si="4"/>
        <v>#N/A</v>
      </c>
      <c r="X12" s="820" t="b">
        <f t="shared" si="1"/>
        <v>1</v>
      </c>
      <c r="Y12" s="820">
        <f t="shared" si="2"/>
        <v>0</v>
      </c>
      <c r="Z12" s="820" t="b">
        <f t="shared" si="5"/>
        <v>1</v>
      </c>
      <c r="AA12" s="1427" t="s">
        <v>119</v>
      </c>
      <c r="AB12" s="1427" t="s">
        <v>1814</v>
      </c>
      <c r="AC12" s="1427">
        <v>1000</v>
      </c>
      <c r="AD12" s="1427">
        <f>+AC12+150</f>
        <v>1150</v>
      </c>
    </row>
    <row r="13" spans="1:42" ht="15" customHeight="1" thickTop="1" thickBot="1">
      <c r="D13" s="52">
        <v>4</v>
      </c>
      <c r="E13" s="754" t="str">
        <f>IF('FORM 1040-2'!N10="","",('FORM 1040-2'!N10))</f>
        <v/>
      </c>
      <c r="F13" s="754" t="str">
        <f>IF('FORM 1040-2'!O10="","",('FORM 1040-2'!O10))</f>
        <v/>
      </c>
      <c r="G13" s="1592"/>
      <c r="H13" s="538" t="str">
        <f>IF('FORM 1040-2'!R10="","",('FORM 1040-2'!R10)-G13)</f>
        <v/>
      </c>
      <c r="I13" s="846" t="str">
        <f>IF('FORM 1040-2'!D10="","",('FORM 1040-2'!D10))</f>
        <v/>
      </c>
      <c r="J13" s="2146" t="str">
        <f t="shared" si="3"/>
        <v/>
      </c>
      <c r="K13" s="2147"/>
      <c r="L13" s="537"/>
      <c r="M13" s="2124"/>
      <c r="N13" s="537"/>
      <c r="R13" s="52">
        <v>4</v>
      </c>
      <c r="S13" s="540" t="str">
        <f t="shared" si="0"/>
        <v/>
      </c>
      <c r="T13" s="540" t="str">
        <f t="shared" ref="T13:T44" si="6">IF(I13="Rehab of Existing Low-Income Housing","EXISTING",IF(I13="New Construction","NEW",IF(I13="Adaptive Re-Use","ADREUSE",IF(I13="Rehab of Existing Housing","EXISTING","BLANK"))))</f>
        <v>BLANK</v>
      </c>
      <c r="U13" s="819" t="e">
        <f t="array" ref="U13">INDEX($AA$4:$AC$18,MATCH(1,($AA$4:$AA$18=E13)*($AB$4:$AB$18=T13),0),3)</f>
        <v>#N/A</v>
      </c>
      <c r="V13" s="819" t="e">
        <f t="array" ref="V13">INDEX($AA$4:$AD$18,MATCH(1,($AA$4:$AA$18=E13)*($AB$4:$AB$18=T13),0),4)</f>
        <v>#N/A</v>
      </c>
      <c r="W13" s="820" t="e">
        <f t="shared" si="4"/>
        <v>#N/A</v>
      </c>
      <c r="X13" s="820" t="b">
        <f t="shared" si="1"/>
        <v>1</v>
      </c>
      <c r="Y13" s="820">
        <f t="shared" si="2"/>
        <v>0</v>
      </c>
      <c r="Z13" s="820" t="b">
        <f t="shared" si="5"/>
        <v>1</v>
      </c>
      <c r="AA13" s="1427" t="s">
        <v>120</v>
      </c>
      <c r="AB13" s="1427" t="s">
        <v>2656</v>
      </c>
      <c r="AC13" s="1427">
        <v>1150</v>
      </c>
      <c r="AD13" s="1427">
        <v>10000</v>
      </c>
    </row>
    <row r="14" spans="1:42" ht="15" customHeight="1" thickTop="1" thickBot="1">
      <c r="D14" s="52">
        <v>5</v>
      </c>
      <c r="E14" s="754" t="str">
        <f>IF('FORM 1040-2'!N11="","",('FORM 1040-2'!N11))</f>
        <v/>
      </c>
      <c r="F14" s="754" t="str">
        <f>IF('FORM 1040-2'!O11="","",('FORM 1040-2'!O11))</f>
        <v/>
      </c>
      <c r="G14" s="1592"/>
      <c r="H14" s="538" t="str">
        <f>IF('FORM 1040-2'!R11="","",('FORM 1040-2'!R11)-G14)</f>
        <v/>
      </c>
      <c r="I14" s="846" t="str">
        <f>IF('FORM 1040-2'!D11="","",('FORM 1040-2'!D11))</f>
        <v/>
      </c>
      <c r="J14" s="2146" t="str">
        <f t="shared" si="3"/>
        <v/>
      </c>
      <c r="K14" s="2147"/>
      <c r="L14" s="537"/>
      <c r="M14" s="2124"/>
      <c r="N14" s="537"/>
      <c r="R14" s="52">
        <v>5</v>
      </c>
      <c r="S14" s="540" t="str">
        <f t="shared" si="0"/>
        <v/>
      </c>
      <c r="T14" s="540" t="str">
        <f t="shared" si="6"/>
        <v>BLANK</v>
      </c>
      <c r="U14" s="819" t="e">
        <f t="array" ref="U14">INDEX($AA$4:$AC$18,MATCH(1,($AA$4:$AA$18=E14)*($AB$4:$AB$18=T14),0),3)</f>
        <v>#N/A</v>
      </c>
      <c r="V14" s="819" t="e">
        <f t="array" ref="V14">INDEX($AA$4:$AD$18,MATCH(1,($AA$4:$AA$18=E14)*($AB$4:$AB$18=T14),0),4)</f>
        <v>#N/A</v>
      </c>
      <c r="W14" s="820" t="e">
        <f t="shared" si="4"/>
        <v>#N/A</v>
      </c>
      <c r="X14" s="820" t="b">
        <f t="shared" si="1"/>
        <v>1</v>
      </c>
      <c r="Y14" s="820">
        <f t="shared" si="2"/>
        <v>0</v>
      </c>
      <c r="Z14" s="820" t="b">
        <f t="shared" si="5"/>
        <v>1</v>
      </c>
      <c r="AA14" s="1427" t="s">
        <v>120</v>
      </c>
      <c r="AB14" s="1427" t="s">
        <v>1813</v>
      </c>
      <c r="AC14" s="1427">
        <v>1100</v>
      </c>
      <c r="AD14" s="1427">
        <v>10000</v>
      </c>
    </row>
    <row r="15" spans="1:42" ht="15" customHeight="1" thickTop="1" thickBot="1">
      <c r="D15" s="52">
        <v>6</v>
      </c>
      <c r="E15" s="754" t="str">
        <f>IF('FORM 1040-2'!N12="","",('FORM 1040-2'!N12))</f>
        <v/>
      </c>
      <c r="F15" s="754" t="str">
        <f>IF('FORM 1040-2'!O12="","",('FORM 1040-2'!O12))</f>
        <v/>
      </c>
      <c r="G15" s="1592"/>
      <c r="H15" s="538" t="str">
        <f>IF('FORM 1040-2'!R12="","",('FORM 1040-2'!R12)-G15)</f>
        <v/>
      </c>
      <c r="I15" s="846" t="str">
        <f>IF('FORM 1040-2'!D12="","",('FORM 1040-2'!D12))</f>
        <v/>
      </c>
      <c r="J15" s="2146" t="str">
        <f t="shared" si="3"/>
        <v/>
      </c>
      <c r="K15" s="2147"/>
      <c r="L15" s="537"/>
      <c r="M15" s="2124"/>
      <c r="N15" s="537"/>
      <c r="R15" s="52">
        <v>6</v>
      </c>
      <c r="S15" s="540" t="str">
        <f t="shared" si="0"/>
        <v/>
      </c>
      <c r="T15" s="540" t="str">
        <f t="shared" si="6"/>
        <v>BLANK</v>
      </c>
      <c r="U15" s="819" t="e">
        <f t="array" ref="U15">INDEX($AA$4:$AC$18,MATCH(1,($AA$4:$AA$18=E15)*($AB$4:$AB$18=T15),0),3)</f>
        <v>#N/A</v>
      </c>
      <c r="V15" s="819" t="e">
        <f t="array" ref="V15">INDEX($AA$4:$AD$18,MATCH(1,($AA$4:$AA$18=E15)*($AB$4:$AB$18=T15),0),4)</f>
        <v>#N/A</v>
      </c>
      <c r="W15" s="820" t="e">
        <f t="shared" si="4"/>
        <v>#N/A</v>
      </c>
      <c r="X15" s="820" t="b">
        <f t="shared" si="1"/>
        <v>1</v>
      </c>
      <c r="Y15" s="820">
        <f t="shared" si="2"/>
        <v>0</v>
      </c>
      <c r="Z15" s="820" t="b">
        <f t="shared" si="5"/>
        <v>1</v>
      </c>
      <c r="AA15" s="1427" t="s">
        <v>120</v>
      </c>
      <c r="AB15" s="1427" t="s">
        <v>1814</v>
      </c>
      <c r="AC15" s="1427">
        <v>1150</v>
      </c>
      <c r="AD15" s="1427">
        <f>+AC15+150</f>
        <v>1300</v>
      </c>
    </row>
    <row r="16" spans="1:42" ht="15" customHeight="1" thickTop="1" thickBot="1">
      <c r="D16" s="52">
        <v>7</v>
      </c>
      <c r="E16" s="754" t="str">
        <f>IF('FORM 1040-2'!N13="","",('FORM 1040-2'!N13))</f>
        <v/>
      </c>
      <c r="F16" s="754" t="str">
        <f>IF('FORM 1040-2'!O13="","",('FORM 1040-2'!O13))</f>
        <v/>
      </c>
      <c r="G16" s="1592"/>
      <c r="H16" s="538" t="str">
        <f>IF('FORM 1040-2'!R13="","",('FORM 1040-2'!R13)-G16)</f>
        <v/>
      </c>
      <c r="I16" s="846" t="str">
        <f>IF('FORM 1040-2'!D13="","",('FORM 1040-2'!D13))</f>
        <v/>
      </c>
      <c r="J16" s="2146" t="str">
        <f t="shared" si="3"/>
        <v/>
      </c>
      <c r="K16" s="2147"/>
      <c r="L16" s="537"/>
      <c r="M16" s="2124"/>
      <c r="N16" s="537"/>
      <c r="R16" s="52">
        <v>7</v>
      </c>
      <c r="S16" s="540" t="str">
        <f t="shared" si="0"/>
        <v/>
      </c>
      <c r="T16" s="540" t="str">
        <f t="shared" si="6"/>
        <v>BLANK</v>
      </c>
      <c r="U16" s="819" t="e">
        <f t="array" ref="U16">INDEX($AA$4:$AC$18,MATCH(1,($AA$4:$AA$18=E16)*($AB$4:$AB$18=T16),0),3)</f>
        <v>#N/A</v>
      </c>
      <c r="V16" s="819" t="e">
        <f t="array" ref="V16">INDEX($AA$4:$AD$18,MATCH(1,($AA$4:$AA$18=E16)*($AB$4:$AB$18=T16),0),4)</f>
        <v>#N/A</v>
      </c>
      <c r="W16" s="820" t="e">
        <f t="shared" si="4"/>
        <v>#N/A</v>
      </c>
      <c r="X16" s="820" t="b">
        <f t="shared" si="1"/>
        <v>1</v>
      </c>
      <c r="Y16" s="820">
        <f t="shared" si="2"/>
        <v>0</v>
      </c>
      <c r="Z16" s="820" t="b">
        <f t="shared" si="5"/>
        <v>1</v>
      </c>
      <c r="AA16" s="1427" t="s">
        <v>116</v>
      </c>
      <c r="AB16" s="1427" t="s">
        <v>2656</v>
      </c>
      <c r="AC16" s="1427">
        <v>550</v>
      </c>
      <c r="AD16" s="1427">
        <v>10000</v>
      </c>
    </row>
    <row r="17" spans="1:30" ht="15" customHeight="1" thickTop="1" thickBot="1">
      <c r="D17" s="52">
        <v>8</v>
      </c>
      <c r="E17" s="754" t="str">
        <f>IF('FORM 1040-2'!N14="","",('FORM 1040-2'!N14))</f>
        <v/>
      </c>
      <c r="F17" s="754" t="str">
        <f>IF('FORM 1040-2'!O14="","",('FORM 1040-2'!O14))</f>
        <v/>
      </c>
      <c r="G17" s="1592"/>
      <c r="H17" s="538" t="str">
        <f>IF('FORM 1040-2'!R14="","",('FORM 1040-2'!R14)-G17)</f>
        <v/>
      </c>
      <c r="I17" s="846" t="str">
        <f>IF('FORM 1040-2'!D14="","",('FORM 1040-2'!D14))</f>
        <v/>
      </c>
      <c r="J17" s="2146" t="str">
        <f t="shared" si="3"/>
        <v/>
      </c>
      <c r="K17" s="2147"/>
      <c r="L17" s="537"/>
      <c r="M17" s="2124"/>
      <c r="N17" s="537"/>
      <c r="R17" s="52">
        <v>8</v>
      </c>
      <c r="S17" s="540" t="str">
        <f t="shared" si="0"/>
        <v/>
      </c>
      <c r="T17" s="540" t="str">
        <f t="shared" si="6"/>
        <v>BLANK</v>
      </c>
      <c r="U17" s="819" t="e">
        <f t="array" ref="U17">INDEX($AA$4:$AC$18,MATCH(1,($AA$4:$AA$18=E17)*($AB$4:$AB$18=T17),0),3)</f>
        <v>#N/A</v>
      </c>
      <c r="V17" s="819" t="e">
        <f t="array" ref="V17">INDEX($AA$4:$AD$18,MATCH(1,($AA$4:$AA$18=E17)*($AB$4:$AB$18=T17),0),4)</f>
        <v>#N/A</v>
      </c>
      <c r="W17" s="820" t="e">
        <f t="shared" si="4"/>
        <v>#N/A</v>
      </c>
      <c r="X17" s="820" t="b">
        <f t="shared" si="1"/>
        <v>1</v>
      </c>
      <c r="Y17" s="820">
        <f t="shared" si="2"/>
        <v>0</v>
      </c>
      <c r="Z17" s="820" t="b">
        <f t="shared" si="5"/>
        <v>1</v>
      </c>
      <c r="AA17" s="1427" t="s">
        <v>116</v>
      </c>
      <c r="AB17" s="1427" t="s">
        <v>1813</v>
      </c>
      <c r="AC17" s="1427">
        <v>500</v>
      </c>
      <c r="AD17" s="1427">
        <v>10000</v>
      </c>
    </row>
    <row r="18" spans="1:30" ht="15" customHeight="1" thickTop="1" thickBot="1">
      <c r="D18" s="52">
        <v>9</v>
      </c>
      <c r="E18" s="754" t="str">
        <f>IF('FORM 1040-2'!N15="","",('FORM 1040-2'!N15))</f>
        <v/>
      </c>
      <c r="F18" s="754" t="str">
        <f>IF('FORM 1040-2'!O15="","",('FORM 1040-2'!O15))</f>
        <v/>
      </c>
      <c r="G18" s="1592"/>
      <c r="H18" s="538" t="str">
        <f>IF('FORM 1040-2'!R15="","",('FORM 1040-2'!R15)-G18)</f>
        <v/>
      </c>
      <c r="I18" s="846" t="str">
        <f>IF('FORM 1040-2'!D15="","",('FORM 1040-2'!D15))</f>
        <v/>
      </c>
      <c r="J18" s="2146" t="str">
        <f t="shared" si="3"/>
        <v/>
      </c>
      <c r="K18" s="2147"/>
      <c r="L18" s="537"/>
      <c r="M18" s="2124"/>
      <c r="N18" s="537"/>
      <c r="R18" s="52">
        <v>9</v>
      </c>
      <c r="S18" s="540" t="str">
        <f t="shared" si="0"/>
        <v/>
      </c>
      <c r="T18" s="540" t="str">
        <f t="shared" si="6"/>
        <v>BLANK</v>
      </c>
      <c r="U18" s="819" t="e">
        <f t="array" ref="U18">INDEX($AA$4:$AC$18,MATCH(1,($AA$4:$AA$18=E18)*($AB$4:$AB$18=T18),0),3)</f>
        <v>#N/A</v>
      </c>
      <c r="V18" s="819" t="e">
        <f t="array" ref="V18">INDEX($AA$4:$AD$18,MATCH(1,($AA$4:$AA$18=E18)*($AB$4:$AB$18=T18),0),4)</f>
        <v>#N/A</v>
      </c>
      <c r="W18" s="820" t="e">
        <f t="shared" si="4"/>
        <v>#N/A</v>
      </c>
      <c r="X18" s="820" t="b">
        <f t="shared" si="1"/>
        <v>1</v>
      </c>
      <c r="Y18" s="820">
        <f t="shared" si="2"/>
        <v>0</v>
      </c>
      <c r="Z18" s="820" t="b">
        <f t="shared" si="5"/>
        <v>1</v>
      </c>
      <c r="AA18" s="1427" t="s">
        <v>116</v>
      </c>
      <c r="AB18" s="1427" t="s">
        <v>1814</v>
      </c>
      <c r="AC18" s="1427">
        <v>550</v>
      </c>
      <c r="AD18" s="1427">
        <f>+AC18+150</f>
        <v>700</v>
      </c>
    </row>
    <row r="19" spans="1:30" ht="15" customHeight="1" thickTop="1" thickBot="1">
      <c r="D19" s="52">
        <v>10</v>
      </c>
      <c r="E19" s="754" t="str">
        <f>IF('FORM 1040-2'!N16="","",('FORM 1040-2'!N16))</f>
        <v/>
      </c>
      <c r="F19" s="754" t="str">
        <f>IF('FORM 1040-2'!O16="","",('FORM 1040-2'!O16))</f>
        <v/>
      </c>
      <c r="G19" s="1592"/>
      <c r="H19" s="538" t="str">
        <f>IF('FORM 1040-2'!R16="","",('FORM 1040-2'!R16)-G19)</f>
        <v/>
      </c>
      <c r="I19" s="846" t="str">
        <f>IF('FORM 1040-2'!D16="","",('FORM 1040-2'!D16))</f>
        <v/>
      </c>
      <c r="J19" s="2146" t="str">
        <f t="shared" si="3"/>
        <v/>
      </c>
      <c r="K19" s="2147"/>
      <c r="L19" s="537"/>
      <c r="M19" s="2124"/>
      <c r="N19" s="537"/>
      <c r="R19" s="52">
        <v>10</v>
      </c>
      <c r="S19" s="540" t="str">
        <f t="shared" si="0"/>
        <v/>
      </c>
      <c r="T19" s="540" t="str">
        <f t="shared" si="6"/>
        <v>BLANK</v>
      </c>
      <c r="U19" s="819" t="e">
        <f t="array" ref="U19">INDEX($AA$4:$AC$18,MATCH(1,($AA$4:$AA$18=E19)*($AB$4:$AB$18=T19),0),3)</f>
        <v>#N/A</v>
      </c>
      <c r="V19" s="819" t="e">
        <f t="array" ref="V19">INDEX($AA$4:$AD$18,MATCH(1,($AA$4:$AA$18=E19)*($AB$4:$AB$18=T19),0),4)</f>
        <v>#N/A</v>
      </c>
      <c r="W19" s="820" t="e">
        <f t="shared" si="4"/>
        <v>#N/A</v>
      </c>
      <c r="X19" s="820" t="b">
        <f t="shared" si="1"/>
        <v>1</v>
      </c>
      <c r="Y19" s="820">
        <f t="shared" si="2"/>
        <v>0</v>
      </c>
      <c r="Z19" s="820" t="b">
        <f t="shared" si="5"/>
        <v>1</v>
      </c>
    </row>
    <row r="20" spans="1:30" ht="15" customHeight="1" thickTop="1" thickBot="1">
      <c r="D20" s="52">
        <v>11</v>
      </c>
      <c r="E20" s="754" t="str">
        <f>IF('FORM 1040-2'!N17="","",('FORM 1040-2'!N17))</f>
        <v/>
      </c>
      <c r="F20" s="754" t="str">
        <f>IF('FORM 1040-2'!O17="","",('FORM 1040-2'!O17))</f>
        <v/>
      </c>
      <c r="G20" s="1592"/>
      <c r="H20" s="538" t="str">
        <f>IF('FORM 1040-2'!R17="","",('FORM 1040-2'!R17)-G20)</f>
        <v/>
      </c>
      <c r="I20" s="847" t="str">
        <f>IF('FORM 1040-2'!D17="","",('FORM 1040-2'!D17))</f>
        <v/>
      </c>
      <c r="J20" s="2146" t="str">
        <f t="shared" si="3"/>
        <v/>
      </c>
      <c r="K20" s="2147"/>
      <c r="L20" s="537"/>
      <c r="M20" s="2124"/>
      <c r="N20" s="537"/>
      <c r="R20" s="52">
        <v>11</v>
      </c>
      <c r="S20" s="540" t="str">
        <f t="shared" si="0"/>
        <v/>
      </c>
      <c r="T20" s="540" t="str">
        <f t="shared" si="6"/>
        <v>BLANK</v>
      </c>
      <c r="U20" s="819" t="e">
        <f t="array" ref="U20">INDEX($AA$4:$AC$18,MATCH(1,($AA$4:$AA$18=E20)*($AB$4:$AB$18=T20),0),3)</f>
        <v>#N/A</v>
      </c>
      <c r="V20" s="819" t="e">
        <f t="array" ref="V20">INDEX($AA$4:$AD$18,MATCH(1,($AA$4:$AA$18=E20)*($AB$4:$AB$18=T20),0),4)</f>
        <v>#N/A</v>
      </c>
      <c r="W20" s="820" t="e">
        <f t="shared" si="4"/>
        <v>#N/A</v>
      </c>
      <c r="X20" s="820" t="b">
        <f>IF(OR(I20="Rehab of Existing Low-Income Housing",I20="New Construction",I20="Adaptive Re-Use",I20="Rehab of Existing Housing"),FALSE,TRUE)</f>
        <v>1</v>
      </c>
      <c r="Y20" s="820">
        <f t="shared" si="2"/>
        <v>0</v>
      </c>
      <c r="Z20" s="820" t="b">
        <f t="shared" si="5"/>
        <v>1</v>
      </c>
    </row>
    <row r="21" spans="1:30" ht="15" customHeight="1" thickTop="1" thickBot="1">
      <c r="D21" s="52">
        <v>12</v>
      </c>
      <c r="E21" s="754" t="str">
        <f>IF('FORM 1040-2'!N18="","",('FORM 1040-2'!N18))</f>
        <v/>
      </c>
      <c r="F21" s="754" t="str">
        <f>IF('FORM 1040-2'!O18="","",('FORM 1040-2'!O18))</f>
        <v/>
      </c>
      <c r="G21" s="1592"/>
      <c r="H21" s="538" t="str">
        <f>IF('FORM 1040-2'!R18="","",('FORM 1040-2'!R18)-G21)</f>
        <v/>
      </c>
      <c r="I21" s="846" t="str">
        <f>IF('FORM 1040-2'!D18="","",('FORM 1040-2'!D18))</f>
        <v/>
      </c>
      <c r="J21" s="2146" t="str">
        <f t="shared" si="3"/>
        <v/>
      </c>
      <c r="K21" s="2147"/>
      <c r="L21" s="537"/>
      <c r="M21" s="2124"/>
      <c r="N21" s="537"/>
      <c r="R21" s="52">
        <v>12</v>
      </c>
      <c r="S21" s="540" t="str">
        <f t="shared" si="0"/>
        <v/>
      </c>
      <c r="T21" s="540" t="str">
        <f t="shared" si="6"/>
        <v>BLANK</v>
      </c>
      <c r="U21" s="819" t="e">
        <f t="array" ref="U21">INDEX($AA$4:$AC$18,MATCH(1,($AA$4:$AA$18=E21)*($AB$4:$AB$18=T21),0),3)</f>
        <v>#N/A</v>
      </c>
      <c r="V21" s="819" t="e">
        <f t="array" ref="V21">INDEX($AA$4:$AD$18,MATCH(1,($AA$4:$AA$18=E21)*($AB$4:$AB$18=T21),0),4)</f>
        <v>#N/A</v>
      </c>
      <c r="W21" s="820" t="e">
        <f t="shared" si="4"/>
        <v>#N/A</v>
      </c>
      <c r="X21" s="820" t="b">
        <f t="shared" ref="X21:X44" si="7">IF(OR(I21="Rehab of Existing Low-Income Housing",I21="New Construction",I21="Adaptive Re-Use",I21="Rehab of Existing Housing"),FALSE,TRUE)</f>
        <v>1</v>
      </c>
      <c r="Y21" s="820">
        <f t="shared" si="2"/>
        <v>0</v>
      </c>
      <c r="Z21" s="820" t="b">
        <f t="shared" si="5"/>
        <v>1</v>
      </c>
    </row>
    <row r="22" spans="1:30" ht="15" customHeight="1" thickTop="1" thickBot="1">
      <c r="D22" s="52">
        <v>13</v>
      </c>
      <c r="E22" s="754" t="str">
        <f>IF('FORM 1040-2'!N19="","",('FORM 1040-2'!N19))</f>
        <v/>
      </c>
      <c r="F22" s="754" t="str">
        <f>IF('FORM 1040-2'!O19="","",('FORM 1040-2'!O19))</f>
        <v/>
      </c>
      <c r="G22" s="1592"/>
      <c r="H22" s="538" t="str">
        <f>IF('FORM 1040-2'!R19="","",('FORM 1040-2'!R19)-G22)</f>
        <v/>
      </c>
      <c r="I22" s="846" t="str">
        <f>IF('FORM 1040-2'!D19="","",('FORM 1040-2'!D19))</f>
        <v/>
      </c>
      <c r="J22" s="2146" t="str">
        <f t="shared" si="3"/>
        <v/>
      </c>
      <c r="K22" s="2147"/>
      <c r="L22" s="537"/>
      <c r="M22" s="2124"/>
      <c r="N22" s="537"/>
      <c r="R22" s="52">
        <v>13</v>
      </c>
      <c r="S22" s="540" t="str">
        <f t="shared" si="0"/>
        <v/>
      </c>
      <c r="T22" s="540" t="str">
        <f t="shared" si="6"/>
        <v>BLANK</v>
      </c>
      <c r="U22" s="819" t="e">
        <f t="array" ref="U22">INDEX($AA$4:$AC$18,MATCH(1,($AA$4:$AA$18=E22)*($AB$4:$AB$18=T22),0),3)</f>
        <v>#N/A</v>
      </c>
      <c r="V22" s="819" t="e">
        <f t="array" ref="V22">INDEX($AA$4:$AD$18,MATCH(1,($AA$4:$AA$18=E22)*($AB$4:$AB$18=T22),0),4)</f>
        <v>#N/A</v>
      </c>
      <c r="W22" s="820" t="e">
        <f t="shared" si="4"/>
        <v>#N/A</v>
      </c>
      <c r="X22" s="820" t="b">
        <f t="shared" si="7"/>
        <v>1</v>
      </c>
      <c r="Y22" s="820">
        <f t="shared" si="2"/>
        <v>0</v>
      </c>
      <c r="Z22" s="820" t="b">
        <f t="shared" si="5"/>
        <v>1</v>
      </c>
    </row>
    <row r="23" spans="1:30" ht="15" customHeight="1" thickTop="1" thickBot="1">
      <c r="D23" s="52">
        <v>14</v>
      </c>
      <c r="E23" s="754" t="str">
        <f>IF('FORM 1040-2'!N20="","",('FORM 1040-2'!N20))</f>
        <v/>
      </c>
      <c r="F23" s="754" t="str">
        <f>IF('FORM 1040-2'!O20="","",('FORM 1040-2'!O20))</f>
        <v/>
      </c>
      <c r="G23" s="1592"/>
      <c r="H23" s="538" t="str">
        <f>IF('FORM 1040-2'!R20="","",('FORM 1040-2'!R20)-G23)</f>
        <v/>
      </c>
      <c r="I23" s="846" t="str">
        <f>IF('FORM 1040-2'!D20="","",('FORM 1040-2'!D20))</f>
        <v/>
      </c>
      <c r="J23" s="2146" t="str">
        <f t="shared" si="3"/>
        <v/>
      </c>
      <c r="K23" s="2147"/>
      <c r="L23" s="537"/>
      <c r="M23" s="2124"/>
      <c r="N23" s="537"/>
      <c r="R23" s="52">
        <v>14</v>
      </c>
      <c r="S23" s="540" t="str">
        <f t="shared" si="0"/>
        <v/>
      </c>
      <c r="T23" s="540" t="str">
        <f t="shared" si="6"/>
        <v>BLANK</v>
      </c>
      <c r="U23" s="819" t="e">
        <f t="array" ref="U23">INDEX($AA$4:$AC$18,MATCH(1,($AA$4:$AA$18=E23)*($AB$4:$AB$18=T23),0),3)</f>
        <v>#N/A</v>
      </c>
      <c r="V23" s="819" t="e">
        <f t="array" ref="V23">INDEX($AA$4:$AD$18,MATCH(1,($AA$4:$AA$18=E23)*($AB$4:$AB$18=T23),0),4)</f>
        <v>#N/A</v>
      </c>
      <c r="W23" s="820" t="e">
        <f t="shared" si="4"/>
        <v>#N/A</v>
      </c>
      <c r="X23" s="820" t="b">
        <f t="shared" si="7"/>
        <v>1</v>
      </c>
      <c r="Y23" s="820">
        <f t="shared" si="2"/>
        <v>0</v>
      </c>
      <c r="Z23" s="820" t="b">
        <f t="shared" si="5"/>
        <v>1</v>
      </c>
    </row>
    <row r="24" spans="1:30" ht="15" customHeight="1" thickTop="1" thickBot="1">
      <c r="D24" s="52">
        <v>15</v>
      </c>
      <c r="E24" s="754" t="str">
        <f>IF('FORM 1040-2'!N21="","",('FORM 1040-2'!N21))</f>
        <v/>
      </c>
      <c r="F24" s="754" t="str">
        <f>IF('FORM 1040-2'!O21="","",('FORM 1040-2'!O21))</f>
        <v/>
      </c>
      <c r="G24" s="1592"/>
      <c r="H24" s="538" t="str">
        <f>IF('FORM 1040-2'!R21="","",('FORM 1040-2'!R21)-G24)</f>
        <v/>
      </c>
      <c r="I24" s="846" t="str">
        <f>IF('FORM 1040-2'!D21="","",('FORM 1040-2'!D21))</f>
        <v/>
      </c>
      <c r="J24" s="2146" t="str">
        <f t="shared" si="3"/>
        <v/>
      </c>
      <c r="K24" s="2147"/>
      <c r="L24" s="537"/>
      <c r="M24" s="2124"/>
      <c r="N24" s="537"/>
      <c r="R24" s="52">
        <v>15</v>
      </c>
      <c r="S24" s="540" t="str">
        <f t="shared" si="0"/>
        <v/>
      </c>
      <c r="T24" s="540" t="str">
        <f t="shared" si="6"/>
        <v>BLANK</v>
      </c>
      <c r="U24" s="819" t="e">
        <f t="array" ref="U24">INDEX($AA$4:$AC$18,MATCH(1,($AA$4:$AA$18=E24)*($AB$4:$AB$18=T24),0),3)</f>
        <v>#N/A</v>
      </c>
      <c r="V24" s="819" t="e">
        <f t="array" ref="V24">INDEX($AA$4:$AD$18,MATCH(1,($AA$4:$AA$18=E24)*($AB$4:$AB$18=T24),0),4)</f>
        <v>#N/A</v>
      </c>
      <c r="W24" s="820" t="e">
        <f t="shared" si="4"/>
        <v>#N/A</v>
      </c>
      <c r="X24" s="820" t="b">
        <f t="shared" si="7"/>
        <v>1</v>
      </c>
      <c r="Y24" s="820">
        <f t="shared" si="2"/>
        <v>0</v>
      </c>
      <c r="Z24" s="820" t="b">
        <f t="shared" si="5"/>
        <v>1</v>
      </c>
    </row>
    <row r="25" spans="1:30" ht="15" customHeight="1" thickTop="1" thickBot="1">
      <c r="D25" s="52">
        <v>16</v>
      </c>
      <c r="E25" s="754" t="str">
        <f>IF('FORM 1040-2'!N22="","",('FORM 1040-2'!N22))</f>
        <v/>
      </c>
      <c r="F25" s="754" t="str">
        <f>IF('FORM 1040-2'!O22="","",('FORM 1040-2'!O22))</f>
        <v/>
      </c>
      <c r="G25" s="1592"/>
      <c r="H25" s="538" t="str">
        <f>IF('FORM 1040-2'!R22="","",('FORM 1040-2'!R22)-G25)</f>
        <v/>
      </c>
      <c r="I25" s="846" t="str">
        <f>IF('FORM 1040-2'!D22="","",('FORM 1040-2'!D22))</f>
        <v/>
      </c>
      <c r="J25" s="2146" t="str">
        <f t="shared" si="3"/>
        <v/>
      </c>
      <c r="K25" s="2147"/>
      <c r="L25" s="537"/>
      <c r="M25" s="2124"/>
      <c r="N25" s="537"/>
      <c r="R25" s="52">
        <v>16</v>
      </c>
      <c r="S25" s="540" t="str">
        <f t="shared" si="0"/>
        <v/>
      </c>
      <c r="T25" s="540" t="str">
        <f t="shared" si="6"/>
        <v>BLANK</v>
      </c>
      <c r="U25" s="819" t="e">
        <f t="array" ref="U25">INDEX($AA$4:$AC$18,MATCH(1,($AA$4:$AA$18=E25)*($AB$4:$AB$18=T25),0),3)</f>
        <v>#N/A</v>
      </c>
      <c r="V25" s="819" t="e">
        <f t="array" ref="V25">INDEX($AA$4:$AD$18,MATCH(1,($AA$4:$AA$18=E25)*($AB$4:$AB$18=T25),0),4)</f>
        <v>#N/A</v>
      </c>
      <c r="W25" s="820" t="e">
        <f t="shared" si="4"/>
        <v>#N/A</v>
      </c>
      <c r="X25" s="820" t="b">
        <f t="shared" si="7"/>
        <v>1</v>
      </c>
      <c r="Y25" s="820">
        <f t="shared" si="2"/>
        <v>0</v>
      </c>
      <c r="Z25" s="820" t="b">
        <f t="shared" si="5"/>
        <v>1</v>
      </c>
    </row>
    <row r="26" spans="1:30" ht="15" customHeight="1" thickTop="1" thickBot="1">
      <c r="D26" s="52">
        <v>17</v>
      </c>
      <c r="E26" s="754" t="str">
        <f>IF('FORM 1040-2'!N23="","",('FORM 1040-2'!N23))</f>
        <v/>
      </c>
      <c r="F26" s="754" t="str">
        <f>IF('FORM 1040-2'!O23="","",('FORM 1040-2'!O23))</f>
        <v/>
      </c>
      <c r="G26" s="1592"/>
      <c r="H26" s="538" t="str">
        <f>IF('FORM 1040-2'!R23="","",('FORM 1040-2'!R23)-G26)</f>
        <v/>
      </c>
      <c r="I26" s="846" t="str">
        <f>IF('FORM 1040-2'!D23="","",('FORM 1040-2'!D23))</f>
        <v/>
      </c>
      <c r="J26" s="2146" t="str">
        <f t="shared" si="3"/>
        <v/>
      </c>
      <c r="K26" s="2147"/>
      <c r="L26" s="537"/>
      <c r="M26" s="2124"/>
      <c r="N26" s="537"/>
      <c r="R26" s="52">
        <v>17</v>
      </c>
      <c r="S26" s="540" t="str">
        <f t="shared" si="0"/>
        <v/>
      </c>
      <c r="T26" s="540" t="str">
        <f t="shared" si="6"/>
        <v>BLANK</v>
      </c>
      <c r="U26" s="819" t="e">
        <f t="array" ref="U26">INDEX($AA$4:$AC$18,MATCH(1,($AA$4:$AA$18=E26)*($AB$4:$AB$18=T26),0),3)</f>
        <v>#N/A</v>
      </c>
      <c r="V26" s="819" t="e">
        <f t="array" ref="V26">INDEX($AA$4:$AD$18,MATCH(1,($AA$4:$AA$18=E26)*($AB$4:$AB$18=T26),0),4)</f>
        <v>#N/A</v>
      </c>
      <c r="W26" s="820" t="e">
        <f t="shared" si="4"/>
        <v>#N/A</v>
      </c>
      <c r="X26" s="820" t="b">
        <f t="shared" si="7"/>
        <v>1</v>
      </c>
      <c r="Y26" s="820">
        <f t="shared" si="2"/>
        <v>0</v>
      </c>
      <c r="Z26" s="820" t="b">
        <f t="shared" si="5"/>
        <v>1</v>
      </c>
    </row>
    <row r="27" spans="1:30" ht="15" customHeight="1" thickTop="1" thickBot="1">
      <c r="D27" s="52">
        <v>18</v>
      </c>
      <c r="E27" s="754" t="str">
        <f>IF('FORM 1040-2'!N24="","",('FORM 1040-2'!N24))</f>
        <v/>
      </c>
      <c r="F27" s="754" t="str">
        <f>IF('FORM 1040-2'!O24="","",('FORM 1040-2'!O24))</f>
        <v/>
      </c>
      <c r="G27" s="1592"/>
      <c r="H27" s="538" t="str">
        <f>IF('FORM 1040-2'!R24="","",('FORM 1040-2'!R24)-G27)</f>
        <v/>
      </c>
      <c r="I27" s="846" t="str">
        <f>IF('FORM 1040-2'!D24="","",('FORM 1040-2'!D24))</f>
        <v/>
      </c>
      <c r="J27" s="2146" t="str">
        <f t="shared" si="3"/>
        <v/>
      </c>
      <c r="K27" s="2147"/>
      <c r="L27" s="537"/>
      <c r="M27" s="2124"/>
      <c r="N27" s="537"/>
      <c r="R27" s="52">
        <v>18</v>
      </c>
      <c r="S27" s="540" t="str">
        <f t="shared" si="0"/>
        <v/>
      </c>
      <c r="T27" s="540" t="str">
        <f t="shared" si="6"/>
        <v>BLANK</v>
      </c>
      <c r="U27" s="819" t="e">
        <f t="array" ref="U27">INDEX($AA$4:$AC$18,MATCH(1,($AA$4:$AA$18=E27)*($AB$4:$AB$18=T27),0),3)</f>
        <v>#N/A</v>
      </c>
      <c r="V27" s="819" t="e">
        <f t="array" ref="V27">INDEX($AA$4:$AD$18,MATCH(1,($AA$4:$AA$18=E27)*($AB$4:$AB$18=T27),0),4)</f>
        <v>#N/A</v>
      </c>
      <c r="W27" s="820" t="e">
        <f t="shared" si="4"/>
        <v>#N/A</v>
      </c>
      <c r="X27" s="820" t="b">
        <f t="shared" si="7"/>
        <v>1</v>
      </c>
      <c r="Y27" s="820">
        <f t="shared" si="2"/>
        <v>0</v>
      </c>
      <c r="Z27" s="820" t="b">
        <f t="shared" si="5"/>
        <v>1</v>
      </c>
    </row>
    <row r="28" spans="1:30" ht="15" customHeight="1" thickTop="1" thickBot="1">
      <c r="D28" s="52">
        <v>19</v>
      </c>
      <c r="E28" s="754" t="str">
        <f>IF('FORM 1040-2'!N25="","",('FORM 1040-2'!N25))</f>
        <v/>
      </c>
      <c r="F28" s="754" t="str">
        <f>IF('FORM 1040-2'!O25="","",('FORM 1040-2'!O25))</f>
        <v/>
      </c>
      <c r="G28" s="1592"/>
      <c r="H28" s="538" t="str">
        <f>IF('FORM 1040-2'!R25="","",('FORM 1040-2'!R25)-G28)</f>
        <v/>
      </c>
      <c r="I28" s="846" t="str">
        <f>IF('FORM 1040-2'!D25="","",('FORM 1040-2'!D25))</f>
        <v/>
      </c>
      <c r="J28" s="2146" t="str">
        <f t="shared" si="3"/>
        <v/>
      </c>
      <c r="K28" s="2147"/>
      <c r="L28" s="108"/>
      <c r="M28" s="2124"/>
      <c r="N28" s="39"/>
      <c r="R28" s="52">
        <v>19</v>
      </c>
      <c r="S28" s="540" t="str">
        <f t="shared" si="0"/>
        <v/>
      </c>
      <c r="T28" s="540" t="str">
        <f t="shared" si="6"/>
        <v>BLANK</v>
      </c>
      <c r="U28" s="819" t="e">
        <f t="array" ref="U28">INDEX($AA$4:$AC$18,MATCH(1,($AA$4:$AA$18=E28)*($AB$4:$AB$18=T28),0),3)</f>
        <v>#N/A</v>
      </c>
      <c r="V28" s="819" t="e">
        <f t="array" ref="V28">INDEX($AA$4:$AD$18,MATCH(1,($AA$4:$AA$18=E28)*($AB$4:$AB$18=T28),0),4)</f>
        <v>#N/A</v>
      </c>
      <c r="W28" s="820" t="e">
        <f t="shared" si="4"/>
        <v>#N/A</v>
      </c>
      <c r="X28" s="820" t="b">
        <f t="shared" si="7"/>
        <v>1</v>
      </c>
      <c r="Y28" s="820">
        <f t="shared" si="2"/>
        <v>0</v>
      </c>
      <c r="Z28" s="820" t="b">
        <f t="shared" si="5"/>
        <v>1</v>
      </c>
    </row>
    <row r="29" spans="1:30" ht="15" customHeight="1" thickTop="1" thickBot="1">
      <c r="A29" s="758"/>
      <c r="B29" s="758"/>
      <c r="C29" s="758"/>
      <c r="D29" s="52">
        <v>20</v>
      </c>
      <c r="E29" s="754" t="str">
        <f>IF('FORM 1040-2'!N26="","",('FORM 1040-2'!N26))</f>
        <v/>
      </c>
      <c r="F29" s="754" t="str">
        <f>IF('FORM 1040-2'!O26="","",('FORM 1040-2'!O26))</f>
        <v/>
      </c>
      <c r="G29" s="1592"/>
      <c r="H29" s="538" t="str">
        <f>IF('FORM 1040-2'!R26="","",('FORM 1040-2'!R26)-G29)</f>
        <v/>
      </c>
      <c r="I29" s="846" t="str">
        <f>IF('FORM 1040-2'!D26="","",('FORM 1040-2'!D26))</f>
        <v/>
      </c>
      <c r="J29" s="2146" t="str">
        <f t="shared" si="3"/>
        <v/>
      </c>
      <c r="K29" s="2147"/>
      <c r="L29" s="108"/>
      <c r="M29" s="2124"/>
      <c r="N29" s="39"/>
      <c r="O29" s="758"/>
      <c r="P29" s="758"/>
      <c r="R29" s="52">
        <v>20</v>
      </c>
      <c r="S29" s="540" t="str">
        <f t="shared" si="0"/>
        <v/>
      </c>
      <c r="T29" s="540" t="str">
        <f t="shared" si="6"/>
        <v>BLANK</v>
      </c>
      <c r="U29" s="819" t="e">
        <f t="array" ref="U29">INDEX($AA$4:$AC$18,MATCH(1,($AA$4:$AA$18=E29)*($AB$4:$AB$18=T29),0),3)</f>
        <v>#N/A</v>
      </c>
      <c r="V29" s="819" t="e">
        <f t="array" ref="V29">INDEX($AA$4:$AD$18,MATCH(1,($AA$4:$AA$18=E29)*($AB$4:$AB$18=T29),0),4)</f>
        <v>#N/A</v>
      </c>
      <c r="W29" s="820" t="e">
        <f t="shared" si="4"/>
        <v>#N/A</v>
      </c>
      <c r="X29" s="820" t="b">
        <f t="shared" si="7"/>
        <v>1</v>
      </c>
      <c r="Y29" s="820">
        <f t="shared" si="2"/>
        <v>0</v>
      </c>
      <c r="Z29" s="820" t="b">
        <f t="shared" si="5"/>
        <v>1</v>
      </c>
    </row>
    <row r="30" spans="1:30" ht="15" customHeight="1" thickTop="1" thickBot="1">
      <c r="A30" s="758"/>
      <c r="B30" s="758"/>
      <c r="C30" s="758"/>
      <c r="D30" s="52">
        <v>21</v>
      </c>
      <c r="E30" s="754" t="str">
        <f>IF('FORM 1040-2'!N27="","",('FORM 1040-2'!N27))</f>
        <v/>
      </c>
      <c r="F30" s="754" t="str">
        <f>IF('FORM 1040-2'!O27="","",('FORM 1040-2'!O27))</f>
        <v/>
      </c>
      <c r="G30" s="1592"/>
      <c r="H30" s="538" t="str">
        <f>IF('FORM 1040-2'!R27="","",('FORM 1040-2'!R27)-G30)</f>
        <v/>
      </c>
      <c r="I30" s="846" t="str">
        <f>IF('FORM 1040-2'!D27="","",('FORM 1040-2'!D27))</f>
        <v/>
      </c>
      <c r="J30" s="2146" t="str">
        <f t="shared" si="3"/>
        <v/>
      </c>
      <c r="K30" s="2147"/>
      <c r="L30" s="108"/>
      <c r="M30" s="2124"/>
      <c r="N30" s="39"/>
      <c r="O30" s="758"/>
      <c r="P30" s="758"/>
      <c r="R30" s="52">
        <v>21</v>
      </c>
      <c r="S30" s="540" t="str">
        <f t="shared" si="0"/>
        <v/>
      </c>
      <c r="T30" s="540" t="str">
        <f t="shared" si="6"/>
        <v>BLANK</v>
      </c>
      <c r="U30" s="819" t="e">
        <f t="array" ref="U30">INDEX($AA$4:$AC$18,MATCH(1,($AA$4:$AA$18=E30)*($AB$4:$AB$18=T30),0),3)</f>
        <v>#N/A</v>
      </c>
      <c r="V30" s="819" t="e">
        <f t="array" ref="V30">INDEX($AA$4:$AD$18,MATCH(1,($AA$4:$AA$18=E30)*($AB$4:$AB$18=T30),0),4)</f>
        <v>#N/A</v>
      </c>
      <c r="W30" s="820" t="e">
        <f t="shared" si="4"/>
        <v>#N/A</v>
      </c>
      <c r="X30" s="820" t="b">
        <f t="shared" si="7"/>
        <v>1</v>
      </c>
      <c r="Y30" s="820">
        <f t="shared" si="2"/>
        <v>0</v>
      </c>
      <c r="Z30" s="820" t="b">
        <f t="shared" si="5"/>
        <v>1</v>
      </c>
    </row>
    <row r="31" spans="1:30" ht="15" customHeight="1" thickTop="1" thickBot="1">
      <c r="A31" s="758"/>
      <c r="B31" s="758"/>
      <c r="C31" s="758"/>
      <c r="D31" s="52">
        <v>22</v>
      </c>
      <c r="E31" s="754" t="str">
        <f>IF('FORM 1040-2'!N28="","",('FORM 1040-2'!N28))</f>
        <v/>
      </c>
      <c r="F31" s="754" t="str">
        <f>IF('FORM 1040-2'!O28="","",('FORM 1040-2'!O28))</f>
        <v/>
      </c>
      <c r="G31" s="1592"/>
      <c r="H31" s="538" t="str">
        <f>IF('FORM 1040-2'!R28="","",('FORM 1040-2'!R28)-G31)</f>
        <v/>
      </c>
      <c r="I31" s="846" t="str">
        <f>IF('FORM 1040-2'!D28="","",('FORM 1040-2'!D28))</f>
        <v/>
      </c>
      <c r="J31" s="2146" t="str">
        <f t="shared" si="3"/>
        <v/>
      </c>
      <c r="K31" s="2147"/>
      <c r="L31" s="108"/>
      <c r="M31" s="2124"/>
      <c r="N31" s="39"/>
      <c r="O31" s="758"/>
      <c r="P31" s="758"/>
      <c r="R31" s="52">
        <v>22</v>
      </c>
      <c r="S31" s="540" t="str">
        <f t="shared" si="0"/>
        <v/>
      </c>
      <c r="T31" s="540" t="str">
        <f t="shared" si="6"/>
        <v>BLANK</v>
      </c>
      <c r="U31" s="819" t="e">
        <f t="array" ref="U31">INDEX($AA$4:$AC$18,MATCH(1,($AA$4:$AA$18=E31)*($AB$4:$AB$18=T31),0),3)</f>
        <v>#N/A</v>
      </c>
      <c r="V31" s="819" t="e">
        <f t="array" ref="V31">INDEX($AA$4:$AD$18,MATCH(1,($AA$4:$AA$18=E31)*($AB$4:$AB$18=T31),0),4)</f>
        <v>#N/A</v>
      </c>
      <c r="W31" s="820" t="e">
        <f t="shared" si="4"/>
        <v>#N/A</v>
      </c>
      <c r="X31" s="820" t="b">
        <f t="shared" si="7"/>
        <v>1</v>
      </c>
      <c r="Y31" s="820">
        <f t="shared" si="2"/>
        <v>0</v>
      </c>
      <c r="Z31" s="820" t="b">
        <f t="shared" si="5"/>
        <v>1</v>
      </c>
    </row>
    <row r="32" spans="1:30" ht="15" customHeight="1" thickTop="1" thickBot="1">
      <c r="A32" s="758"/>
      <c r="B32" s="758"/>
      <c r="C32" s="758"/>
      <c r="D32" s="52">
        <v>23</v>
      </c>
      <c r="E32" s="754" t="str">
        <f>IF('FORM 1040-2'!N29="","",('FORM 1040-2'!N29))</f>
        <v/>
      </c>
      <c r="F32" s="754" t="str">
        <f>IF('FORM 1040-2'!O29="","",('FORM 1040-2'!O29))</f>
        <v/>
      </c>
      <c r="G32" s="1592"/>
      <c r="H32" s="538" t="str">
        <f>IF('FORM 1040-2'!R29="","",('FORM 1040-2'!R29)-G32)</f>
        <v/>
      </c>
      <c r="I32" s="846" t="str">
        <f>IF('FORM 1040-2'!D29="","",('FORM 1040-2'!D29))</f>
        <v/>
      </c>
      <c r="J32" s="2146" t="str">
        <f t="shared" si="3"/>
        <v/>
      </c>
      <c r="K32" s="2147"/>
      <c r="L32" s="108"/>
      <c r="M32" s="2124"/>
      <c r="N32" s="39"/>
      <c r="O32" s="758"/>
      <c r="P32" s="758"/>
      <c r="R32" s="52">
        <v>23</v>
      </c>
      <c r="S32" s="540" t="str">
        <f t="shared" si="0"/>
        <v/>
      </c>
      <c r="T32" s="540" t="str">
        <f t="shared" si="6"/>
        <v>BLANK</v>
      </c>
      <c r="U32" s="819" t="e">
        <f t="array" ref="U32">INDEX($AA$4:$AC$18,MATCH(1,($AA$4:$AA$18=E32)*($AB$4:$AB$18=T32),0),3)</f>
        <v>#N/A</v>
      </c>
      <c r="V32" s="819" t="e">
        <f t="array" ref="V32">INDEX($AA$4:$AD$18,MATCH(1,($AA$4:$AA$18=E32)*($AB$4:$AB$18=T32),0),4)</f>
        <v>#N/A</v>
      </c>
      <c r="W32" s="820" t="e">
        <f t="shared" si="4"/>
        <v>#N/A</v>
      </c>
      <c r="X32" s="820" t="b">
        <f t="shared" si="7"/>
        <v>1</v>
      </c>
      <c r="Y32" s="820">
        <f t="shared" si="2"/>
        <v>0</v>
      </c>
      <c r="Z32" s="820" t="b">
        <f t="shared" si="5"/>
        <v>1</v>
      </c>
    </row>
    <row r="33" spans="1:42" ht="15" customHeight="1" thickTop="1" thickBot="1">
      <c r="A33" s="758"/>
      <c r="B33" s="758"/>
      <c r="C33" s="758"/>
      <c r="D33" s="52">
        <v>24</v>
      </c>
      <c r="E33" s="754" t="str">
        <f>IF('FORM 1040-2'!N30="","",('FORM 1040-2'!N30))</f>
        <v/>
      </c>
      <c r="F33" s="754" t="str">
        <f>IF('FORM 1040-2'!O30="","",('FORM 1040-2'!O30))</f>
        <v/>
      </c>
      <c r="G33" s="1592"/>
      <c r="H33" s="538" t="str">
        <f>IF('FORM 1040-2'!R30="","",('FORM 1040-2'!R30)-G33)</f>
        <v/>
      </c>
      <c r="I33" s="846" t="str">
        <f>IF('FORM 1040-2'!D30="","",('FORM 1040-2'!D30))</f>
        <v/>
      </c>
      <c r="J33" s="2146" t="str">
        <f t="shared" si="3"/>
        <v/>
      </c>
      <c r="K33" s="2147"/>
      <c r="L33" s="108"/>
      <c r="M33" s="2124"/>
      <c r="N33" s="39"/>
      <c r="O33" s="758"/>
      <c r="P33" s="758"/>
      <c r="R33" s="52">
        <v>24</v>
      </c>
      <c r="S33" s="540" t="str">
        <f t="shared" si="0"/>
        <v/>
      </c>
      <c r="T33" s="540" t="str">
        <f t="shared" si="6"/>
        <v>BLANK</v>
      </c>
      <c r="U33" s="819" t="e">
        <f t="array" ref="U33">INDEX($AA$4:$AC$18,MATCH(1,($AA$4:$AA$18=E33)*($AB$4:$AB$18=T33),0),3)</f>
        <v>#N/A</v>
      </c>
      <c r="V33" s="819" t="e">
        <f t="array" ref="V33">INDEX($AA$4:$AD$18,MATCH(1,($AA$4:$AA$18=E33)*($AB$4:$AB$18=T33),0),4)</f>
        <v>#N/A</v>
      </c>
      <c r="W33" s="820" t="e">
        <f t="shared" si="4"/>
        <v>#N/A</v>
      </c>
      <c r="X33" s="820" t="b">
        <f t="shared" si="7"/>
        <v>1</v>
      </c>
      <c r="Y33" s="820">
        <f t="shared" si="2"/>
        <v>0</v>
      </c>
      <c r="Z33" s="820" t="b">
        <f t="shared" si="5"/>
        <v>1</v>
      </c>
    </row>
    <row r="34" spans="1:42" ht="15" customHeight="1" thickTop="1" thickBot="1">
      <c r="A34" s="758"/>
      <c r="B34" s="758"/>
      <c r="C34" s="758"/>
      <c r="D34" s="52">
        <v>25</v>
      </c>
      <c r="E34" s="754" t="str">
        <f>IF('FORM 1040-2'!N31="","",('FORM 1040-2'!N31))</f>
        <v/>
      </c>
      <c r="F34" s="754" t="str">
        <f>IF('FORM 1040-2'!O31="","",('FORM 1040-2'!O31))</f>
        <v/>
      </c>
      <c r="G34" s="1592"/>
      <c r="H34" s="538" t="str">
        <f>IF('FORM 1040-2'!R31="","",('FORM 1040-2'!R31)-G34)</f>
        <v/>
      </c>
      <c r="I34" s="846" t="str">
        <f>IF('FORM 1040-2'!D31="","",('FORM 1040-2'!D31))</f>
        <v/>
      </c>
      <c r="J34" s="2146" t="str">
        <f t="shared" si="3"/>
        <v/>
      </c>
      <c r="K34" s="2147"/>
      <c r="L34" s="108"/>
      <c r="M34" s="2124"/>
      <c r="N34" s="39"/>
      <c r="O34" s="758"/>
      <c r="P34" s="758"/>
      <c r="R34" s="52">
        <v>25</v>
      </c>
      <c r="S34" s="540" t="str">
        <f t="shared" si="0"/>
        <v/>
      </c>
      <c r="T34" s="540" t="str">
        <f t="shared" si="6"/>
        <v>BLANK</v>
      </c>
      <c r="U34" s="819" t="e">
        <f t="array" ref="U34">INDEX($AA$4:$AC$18,MATCH(1,($AA$4:$AA$18=E34)*($AB$4:$AB$18=T34),0),3)</f>
        <v>#N/A</v>
      </c>
      <c r="V34" s="819" t="e">
        <f t="array" ref="V34">INDEX($AA$4:$AD$18,MATCH(1,($AA$4:$AA$18=E34)*($AB$4:$AB$18=T34),0),4)</f>
        <v>#N/A</v>
      </c>
      <c r="W34" s="820" t="e">
        <f t="shared" si="4"/>
        <v>#N/A</v>
      </c>
      <c r="X34" s="820" t="b">
        <f t="shared" si="7"/>
        <v>1</v>
      </c>
      <c r="Y34" s="820">
        <f t="shared" si="2"/>
        <v>0</v>
      </c>
      <c r="Z34" s="820" t="b">
        <f t="shared" si="5"/>
        <v>1</v>
      </c>
    </row>
    <row r="35" spans="1:42" ht="15" customHeight="1" thickTop="1" thickBot="1">
      <c r="A35" s="758"/>
      <c r="B35" s="758"/>
      <c r="C35" s="758"/>
      <c r="D35" s="52">
        <v>26</v>
      </c>
      <c r="E35" s="754" t="str">
        <f>IF('FORM 1040-2'!N32="","",('FORM 1040-2'!N32))</f>
        <v/>
      </c>
      <c r="F35" s="754" t="str">
        <f>IF('FORM 1040-2'!O32="","",('FORM 1040-2'!O32))</f>
        <v/>
      </c>
      <c r="G35" s="1592"/>
      <c r="H35" s="538" t="str">
        <f>IF('FORM 1040-2'!R32="","",('FORM 1040-2'!R32)-G35)</f>
        <v/>
      </c>
      <c r="I35" s="846" t="str">
        <f>IF('FORM 1040-2'!D32="","",('FORM 1040-2'!D32))</f>
        <v/>
      </c>
      <c r="J35" s="2146" t="str">
        <f t="shared" si="3"/>
        <v/>
      </c>
      <c r="K35" s="2147"/>
      <c r="L35" s="108"/>
      <c r="M35" s="2124"/>
      <c r="N35" s="39"/>
      <c r="O35" s="758"/>
      <c r="P35" s="758"/>
      <c r="R35" s="52">
        <v>26</v>
      </c>
      <c r="S35" s="540" t="str">
        <f t="shared" si="0"/>
        <v/>
      </c>
      <c r="T35" s="540" t="str">
        <f t="shared" si="6"/>
        <v>BLANK</v>
      </c>
      <c r="U35" s="819" t="e">
        <f t="array" ref="U35">INDEX($AA$4:$AC$18,MATCH(1,($AA$4:$AA$18=E35)*($AB$4:$AB$18=T35),0),3)</f>
        <v>#N/A</v>
      </c>
      <c r="V35" s="819" t="e">
        <f t="array" ref="V35">INDEX($AA$4:$AD$18,MATCH(1,($AA$4:$AA$18=E35)*($AB$4:$AB$18=T35),0),4)</f>
        <v>#N/A</v>
      </c>
      <c r="W35" s="820" t="e">
        <f t="shared" si="4"/>
        <v>#N/A</v>
      </c>
      <c r="X35" s="820" t="b">
        <f t="shared" si="7"/>
        <v>1</v>
      </c>
      <c r="Y35" s="820">
        <f t="shared" si="2"/>
        <v>0</v>
      </c>
      <c r="Z35" s="820" t="b">
        <f t="shared" si="5"/>
        <v>1</v>
      </c>
    </row>
    <row r="36" spans="1:42" s="80" customFormat="1" ht="15" customHeight="1" thickTop="1" thickBot="1">
      <c r="A36" s="758"/>
      <c r="B36" s="758"/>
      <c r="C36" s="758"/>
      <c r="D36" s="52">
        <v>27</v>
      </c>
      <c r="E36" s="754" t="str">
        <f>IF('FORM 1040-2'!N33="","",('FORM 1040-2'!N33))</f>
        <v/>
      </c>
      <c r="F36" s="754" t="str">
        <f>IF('FORM 1040-2'!O33="","",('FORM 1040-2'!O33))</f>
        <v/>
      </c>
      <c r="G36" s="1592"/>
      <c r="H36" s="538" t="str">
        <f>IF('FORM 1040-2'!R33="","",('FORM 1040-2'!R33)-G36)</f>
        <v/>
      </c>
      <c r="I36" s="846" t="str">
        <f>IF('FORM 1040-2'!D33="","",('FORM 1040-2'!D33))</f>
        <v/>
      </c>
      <c r="J36" s="2146" t="str">
        <f t="shared" si="3"/>
        <v/>
      </c>
      <c r="K36" s="2147"/>
      <c r="L36" s="108"/>
      <c r="M36" s="2124"/>
      <c r="N36" s="39"/>
      <c r="O36" s="758"/>
      <c r="P36" s="758"/>
      <c r="Q36" s="84"/>
      <c r="R36" s="52">
        <v>27</v>
      </c>
      <c r="S36" s="540" t="str">
        <f t="shared" si="0"/>
        <v/>
      </c>
      <c r="T36" s="540" t="str">
        <f t="shared" si="6"/>
        <v>BLANK</v>
      </c>
      <c r="U36" s="819" t="e">
        <f t="array" ref="U36">INDEX($AA$4:$AC$18,MATCH(1,($AA$4:$AA$18=E36)*($AB$4:$AB$18=T36),0),3)</f>
        <v>#N/A</v>
      </c>
      <c r="V36" s="819" t="e">
        <f t="array" ref="V36">INDEX($AA$4:$AD$18,MATCH(1,($AA$4:$AA$18=E36)*($AB$4:$AB$18=T36),0),4)</f>
        <v>#N/A</v>
      </c>
      <c r="W36" s="820" t="e">
        <f t="shared" si="4"/>
        <v>#N/A</v>
      </c>
      <c r="X36" s="820" t="b">
        <f t="shared" si="7"/>
        <v>1</v>
      </c>
      <c r="Y36" s="820">
        <f t="shared" si="2"/>
        <v>0</v>
      </c>
      <c r="Z36" s="820" t="b">
        <f t="shared" si="5"/>
        <v>1</v>
      </c>
      <c r="AA36" s="81"/>
      <c r="AB36" s="81"/>
      <c r="AC36" s="81"/>
      <c r="AD36" s="81"/>
      <c r="AE36" s="81"/>
      <c r="AF36" s="81"/>
      <c r="AG36" s="81"/>
      <c r="AH36" s="81"/>
      <c r="AI36" s="81"/>
      <c r="AJ36" s="81"/>
      <c r="AK36" s="81"/>
      <c r="AL36" s="81"/>
      <c r="AM36" s="81"/>
      <c r="AN36" s="81"/>
      <c r="AO36" s="81"/>
      <c r="AP36" s="84"/>
    </row>
    <row r="37" spans="1:42" ht="15" customHeight="1" thickTop="1" thickBot="1">
      <c r="A37" s="758"/>
      <c r="B37" s="758"/>
      <c r="C37" s="758"/>
      <c r="D37" s="52">
        <v>28</v>
      </c>
      <c r="E37" s="754" t="str">
        <f>IF('FORM 1040-2'!N34="","",('FORM 1040-2'!N34))</f>
        <v/>
      </c>
      <c r="F37" s="754" t="str">
        <f>IF('FORM 1040-2'!O34="","",('FORM 1040-2'!O34))</f>
        <v/>
      </c>
      <c r="G37" s="1592"/>
      <c r="H37" s="538" t="str">
        <f>IF('FORM 1040-2'!R34="","",('FORM 1040-2'!R34)-G37)</f>
        <v/>
      </c>
      <c r="I37" s="846" t="str">
        <f>IF('FORM 1040-2'!D34="","",('FORM 1040-2'!D34))</f>
        <v/>
      </c>
      <c r="J37" s="2146" t="str">
        <f t="shared" si="3"/>
        <v/>
      </c>
      <c r="K37" s="2147"/>
      <c r="L37" s="108"/>
      <c r="M37" s="2124"/>
      <c r="N37" s="39"/>
      <c r="O37" s="758"/>
      <c r="P37" s="758"/>
      <c r="R37" s="52">
        <v>28</v>
      </c>
      <c r="S37" s="540" t="str">
        <f t="shared" si="0"/>
        <v/>
      </c>
      <c r="T37" s="540" t="str">
        <f t="shared" si="6"/>
        <v>BLANK</v>
      </c>
      <c r="U37" s="819" t="e">
        <f t="array" ref="U37">INDEX($AA$4:$AC$18,MATCH(1,($AA$4:$AA$18=E37)*($AB$4:$AB$18=T37),0),3)</f>
        <v>#N/A</v>
      </c>
      <c r="V37" s="819" t="e">
        <f t="array" ref="V37">INDEX($AA$4:$AD$18,MATCH(1,($AA$4:$AA$18=E37)*($AB$4:$AB$18=T37),0),4)</f>
        <v>#N/A</v>
      </c>
      <c r="W37" s="820" t="e">
        <f t="shared" si="4"/>
        <v>#N/A</v>
      </c>
      <c r="X37" s="820" t="b">
        <f t="shared" si="7"/>
        <v>1</v>
      </c>
      <c r="Y37" s="820">
        <f t="shared" si="2"/>
        <v>0</v>
      </c>
      <c r="Z37" s="820" t="b">
        <f t="shared" si="5"/>
        <v>1</v>
      </c>
    </row>
    <row r="38" spans="1:42" ht="15" customHeight="1" thickTop="1" thickBot="1">
      <c r="A38" s="758"/>
      <c r="B38" s="758"/>
      <c r="C38" s="758"/>
      <c r="D38" s="52">
        <v>29</v>
      </c>
      <c r="E38" s="754" t="str">
        <f>IF('FORM 1040-2'!N35="","",('FORM 1040-2'!N35))</f>
        <v/>
      </c>
      <c r="F38" s="754" t="str">
        <f>IF('FORM 1040-2'!O35="","",('FORM 1040-2'!O35))</f>
        <v/>
      </c>
      <c r="G38" s="1592"/>
      <c r="H38" s="538" t="str">
        <f>IF('FORM 1040-2'!R35="","",('FORM 1040-2'!R35)-G38)</f>
        <v/>
      </c>
      <c r="I38" s="846" t="str">
        <f>IF('FORM 1040-2'!D35="","",('FORM 1040-2'!D35))</f>
        <v/>
      </c>
      <c r="J38" s="2146" t="str">
        <f t="shared" si="3"/>
        <v/>
      </c>
      <c r="K38" s="2147"/>
      <c r="L38" s="108"/>
      <c r="M38" s="2124"/>
      <c r="N38" s="39"/>
      <c r="O38" s="758"/>
      <c r="P38" s="758"/>
      <c r="R38" s="52">
        <v>29</v>
      </c>
      <c r="S38" s="540" t="str">
        <f t="shared" si="0"/>
        <v/>
      </c>
      <c r="T38" s="540" t="str">
        <f t="shared" si="6"/>
        <v>BLANK</v>
      </c>
      <c r="U38" s="819" t="e">
        <f t="array" ref="U38">INDEX($AA$4:$AC$18,MATCH(1,($AA$4:$AA$18=E38)*($AB$4:$AB$18=T38),0),3)</f>
        <v>#N/A</v>
      </c>
      <c r="V38" s="819" t="e">
        <f t="array" ref="V38">INDEX($AA$4:$AD$18,MATCH(1,($AA$4:$AA$18=E38)*($AB$4:$AB$18=T38),0),4)</f>
        <v>#N/A</v>
      </c>
      <c r="W38" s="820" t="e">
        <f t="shared" si="4"/>
        <v>#N/A</v>
      </c>
      <c r="X38" s="820" t="b">
        <f t="shared" si="7"/>
        <v>1</v>
      </c>
      <c r="Y38" s="820">
        <f t="shared" si="2"/>
        <v>0</v>
      </c>
      <c r="Z38" s="820" t="b">
        <f t="shared" si="5"/>
        <v>1</v>
      </c>
    </row>
    <row r="39" spans="1:42" ht="15" customHeight="1" thickTop="1" thickBot="1">
      <c r="A39" s="758"/>
      <c r="B39" s="758"/>
      <c r="C39" s="758"/>
      <c r="D39" s="52">
        <v>30</v>
      </c>
      <c r="E39" s="754" t="str">
        <f>IF('FORM 1040-2'!N36="","",('FORM 1040-2'!N36))</f>
        <v/>
      </c>
      <c r="F39" s="754" t="str">
        <f>IF('FORM 1040-2'!O36="","",('FORM 1040-2'!O36))</f>
        <v/>
      </c>
      <c r="G39" s="1592"/>
      <c r="H39" s="538" t="str">
        <f>IF('FORM 1040-2'!R36="","",('FORM 1040-2'!R36)-G39)</f>
        <v/>
      </c>
      <c r="I39" s="846" t="str">
        <f>IF('FORM 1040-2'!D36="","",('FORM 1040-2'!D36))</f>
        <v/>
      </c>
      <c r="J39" s="2146" t="str">
        <f t="shared" si="3"/>
        <v/>
      </c>
      <c r="K39" s="2147"/>
      <c r="L39" s="108"/>
      <c r="M39" s="2124"/>
      <c r="N39" s="39"/>
      <c r="O39" s="758"/>
      <c r="P39" s="758"/>
      <c r="R39" s="52">
        <v>30</v>
      </c>
      <c r="S39" s="540" t="str">
        <f t="shared" si="0"/>
        <v/>
      </c>
      <c r="T39" s="540" t="str">
        <f t="shared" si="6"/>
        <v>BLANK</v>
      </c>
      <c r="U39" s="819" t="e">
        <f t="array" ref="U39">INDEX($AA$4:$AC$18,MATCH(1,($AA$4:$AA$18=E39)*($AB$4:$AB$18=T39),0),3)</f>
        <v>#N/A</v>
      </c>
      <c r="V39" s="819" t="e">
        <f t="array" ref="V39">INDEX($AA$4:$AD$18,MATCH(1,($AA$4:$AA$18=E39)*($AB$4:$AB$18=T39),0),4)</f>
        <v>#N/A</v>
      </c>
      <c r="W39" s="820" t="e">
        <f t="shared" si="4"/>
        <v>#N/A</v>
      </c>
      <c r="X39" s="820" t="b">
        <f t="shared" si="7"/>
        <v>1</v>
      </c>
      <c r="Y39" s="820">
        <f t="shared" si="2"/>
        <v>0</v>
      </c>
      <c r="Z39" s="820" t="b">
        <f t="shared" si="5"/>
        <v>1</v>
      </c>
    </row>
    <row r="40" spans="1:42" ht="15" customHeight="1" thickTop="1" thickBot="1">
      <c r="A40" s="758"/>
      <c r="B40" s="758"/>
      <c r="C40" s="758"/>
      <c r="D40" s="52">
        <v>31</v>
      </c>
      <c r="E40" s="754" t="str">
        <f>IF('FORM 1040-2'!N37="","",('FORM 1040-2'!N37))</f>
        <v/>
      </c>
      <c r="F40" s="754" t="str">
        <f>IF('FORM 1040-2'!O37="","",('FORM 1040-2'!O37))</f>
        <v/>
      </c>
      <c r="G40" s="1592"/>
      <c r="H40" s="538" t="str">
        <f>IF('FORM 1040-2'!R37="","",('FORM 1040-2'!R37)-G40)</f>
        <v/>
      </c>
      <c r="I40" s="846" t="str">
        <f>IF('FORM 1040-2'!D37="","",('FORM 1040-2'!D37))</f>
        <v/>
      </c>
      <c r="J40" s="2146" t="str">
        <f t="shared" si="3"/>
        <v/>
      </c>
      <c r="K40" s="2147"/>
      <c r="L40" s="108"/>
      <c r="M40" s="2124"/>
      <c r="N40" s="39"/>
      <c r="O40" s="758"/>
      <c r="P40" s="758"/>
      <c r="R40" s="52">
        <v>31</v>
      </c>
      <c r="S40" s="540" t="str">
        <f t="shared" si="0"/>
        <v/>
      </c>
      <c r="T40" s="540" t="str">
        <f t="shared" si="6"/>
        <v>BLANK</v>
      </c>
      <c r="U40" s="819" t="e">
        <f t="array" ref="U40">INDEX($AA$4:$AC$18,MATCH(1,($AA$4:$AA$18=E40)*($AB$4:$AB$18=T40),0),3)</f>
        <v>#N/A</v>
      </c>
      <c r="V40" s="819" t="e">
        <f t="array" ref="V40">INDEX($AA$4:$AD$18,MATCH(1,($AA$4:$AA$18=E40)*($AB$4:$AB$18=T40),0),4)</f>
        <v>#N/A</v>
      </c>
      <c r="W40" s="820" t="e">
        <f t="shared" si="4"/>
        <v>#N/A</v>
      </c>
      <c r="X40" s="820" t="b">
        <f t="shared" si="7"/>
        <v>1</v>
      </c>
      <c r="Y40" s="820">
        <f t="shared" si="2"/>
        <v>0</v>
      </c>
      <c r="Z40" s="820" t="b">
        <f t="shared" si="5"/>
        <v>1</v>
      </c>
    </row>
    <row r="41" spans="1:42" ht="15" customHeight="1" thickTop="1" thickBot="1">
      <c r="A41" s="758"/>
      <c r="B41" s="758"/>
      <c r="C41" s="758"/>
      <c r="D41" s="52">
        <v>32</v>
      </c>
      <c r="E41" s="754" t="str">
        <f>IF('FORM 1040-2'!N38="","",('FORM 1040-2'!N38))</f>
        <v/>
      </c>
      <c r="F41" s="754" t="str">
        <f>IF('FORM 1040-2'!O38="","",('FORM 1040-2'!O38))</f>
        <v/>
      </c>
      <c r="G41" s="1592"/>
      <c r="H41" s="538" t="str">
        <f>IF('FORM 1040-2'!R38="","",('FORM 1040-2'!R38)-G41)</f>
        <v/>
      </c>
      <c r="I41" s="846" t="str">
        <f>IF('FORM 1040-2'!D38="","",('FORM 1040-2'!D38))</f>
        <v/>
      </c>
      <c r="J41" s="2146" t="str">
        <f t="shared" si="3"/>
        <v/>
      </c>
      <c r="K41" s="2147"/>
      <c r="L41" s="108"/>
      <c r="M41" s="2124"/>
      <c r="N41" s="39"/>
      <c r="O41" s="758"/>
      <c r="P41" s="758"/>
      <c r="R41" s="52">
        <v>32</v>
      </c>
      <c r="S41" s="540" t="str">
        <f t="shared" si="0"/>
        <v/>
      </c>
      <c r="T41" s="540" t="str">
        <f t="shared" si="6"/>
        <v>BLANK</v>
      </c>
      <c r="U41" s="819" t="e">
        <f t="array" ref="U41">INDEX($AA$4:$AC$18,MATCH(1,($AA$4:$AA$18=E41)*($AB$4:$AB$18=T41),0),3)</f>
        <v>#N/A</v>
      </c>
      <c r="V41" s="819" t="e">
        <f t="array" ref="V41">INDEX($AA$4:$AD$18,MATCH(1,($AA$4:$AA$18=E41)*($AB$4:$AB$18=T41),0),4)</f>
        <v>#N/A</v>
      </c>
      <c r="W41" s="820" t="e">
        <f t="shared" si="4"/>
        <v>#N/A</v>
      </c>
      <c r="X41" s="820" t="b">
        <f t="shared" si="7"/>
        <v>1</v>
      </c>
      <c r="Y41" s="820">
        <f t="shared" si="2"/>
        <v>0</v>
      </c>
      <c r="Z41" s="820" t="b">
        <f t="shared" si="5"/>
        <v>1</v>
      </c>
    </row>
    <row r="42" spans="1:42" s="39" customFormat="1" ht="15" customHeight="1" thickTop="1" thickBot="1">
      <c r="A42" s="758"/>
      <c r="B42" s="758"/>
      <c r="C42" s="758"/>
      <c r="D42" s="52">
        <v>33</v>
      </c>
      <c r="E42" s="754" t="str">
        <f>IF('FORM 1040-2'!N39="","",('FORM 1040-2'!N39))</f>
        <v/>
      </c>
      <c r="F42" s="754" t="str">
        <f>IF('FORM 1040-2'!O39="","",('FORM 1040-2'!O39))</f>
        <v/>
      </c>
      <c r="G42" s="1592"/>
      <c r="H42" s="538" t="str">
        <f>IF('FORM 1040-2'!R39="","",('FORM 1040-2'!R39)-G42)</f>
        <v/>
      </c>
      <c r="I42" s="846" t="str">
        <f>IF('FORM 1040-2'!D39="","",('FORM 1040-2'!D39))</f>
        <v/>
      </c>
      <c r="J42" s="2146" t="str">
        <f t="shared" si="3"/>
        <v/>
      </c>
      <c r="K42" s="2147"/>
      <c r="L42" s="108"/>
      <c r="M42" s="2124"/>
      <c r="O42" s="758"/>
      <c r="P42" s="758"/>
      <c r="Q42" s="6"/>
      <c r="R42" s="52">
        <v>33</v>
      </c>
      <c r="S42" s="540" t="str">
        <f t="shared" si="0"/>
        <v/>
      </c>
      <c r="T42" s="540" t="str">
        <f t="shared" si="6"/>
        <v>BLANK</v>
      </c>
      <c r="U42" s="819" t="e">
        <f t="array" ref="U42">INDEX($AA$4:$AC$18,MATCH(1,($AA$4:$AA$18=E42)*($AB$4:$AB$18=T42),0),3)</f>
        <v>#N/A</v>
      </c>
      <c r="V42" s="819" t="e">
        <f t="array" ref="V42">INDEX($AA$4:$AD$18,MATCH(1,($AA$4:$AA$18=E42)*($AB$4:$AB$18=T42),0),4)</f>
        <v>#N/A</v>
      </c>
      <c r="W42" s="820" t="e">
        <f t="shared" si="4"/>
        <v>#N/A</v>
      </c>
      <c r="X42" s="820" t="b">
        <f t="shared" si="7"/>
        <v>1</v>
      </c>
      <c r="Y42" s="820">
        <f t="shared" si="2"/>
        <v>0</v>
      </c>
      <c r="Z42" s="820" t="b">
        <f t="shared" si="5"/>
        <v>1</v>
      </c>
      <c r="AA42" s="87"/>
      <c r="AB42" s="87"/>
      <c r="AC42" s="87"/>
      <c r="AD42" s="87"/>
      <c r="AE42" s="87"/>
      <c r="AF42" s="87"/>
      <c r="AG42" s="87"/>
      <c r="AH42" s="87"/>
      <c r="AI42" s="87"/>
      <c r="AJ42" s="87"/>
      <c r="AK42" s="87"/>
      <c r="AL42" s="87"/>
      <c r="AM42" s="87"/>
      <c r="AN42" s="87"/>
      <c r="AO42" s="87"/>
      <c r="AP42" s="6"/>
    </row>
    <row r="43" spans="1:42" ht="15" customHeight="1" thickTop="1" thickBot="1">
      <c r="A43" s="758"/>
      <c r="B43" s="758"/>
      <c r="C43" s="758"/>
      <c r="D43" s="52">
        <v>34</v>
      </c>
      <c r="E43" s="754" t="str">
        <f>IF('FORM 1040-2'!N40="","",('FORM 1040-2'!N40))</f>
        <v/>
      </c>
      <c r="F43" s="754" t="str">
        <f>IF('FORM 1040-2'!O40="","",('FORM 1040-2'!O40))</f>
        <v/>
      </c>
      <c r="G43" s="1592"/>
      <c r="H43" s="538" t="str">
        <f>IF('FORM 1040-2'!R40="","",('FORM 1040-2'!R40)-G43)</f>
        <v/>
      </c>
      <c r="I43" s="846" t="str">
        <f>IF('FORM 1040-2'!D40="","",('FORM 1040-2'!D40))</f>
        <v/>
      </c>
      <c r="J43" s="2146" t="str">
        <f t="shared" si="3"/>
        <v/>
      </c>
      <c r="K43" s="2147"/>
      <c r="L43" s="108"/>
      <c r="M43" s="2124"/>
      <c r="N43" s="39"/>
      <c r="O43" s="758"/>
      <c r="P43" s="758"/>
      <c r="R43" s="52">
        <v>34</v>
      </c>
      <c r="S43" s="540" t="str">
        <f t="shared" si="0"/>
        <v/>
      </c>
      <c r="T43" s="540" t="str">
        <f t="shared" si="6"/>
        <v>BLANK</v>
      </c>
      <c r="U43" s="819" t="e">
        <f t="array" ref="U43">INDEX($AA$4:$AC$18,MATCH(1,($AA$4:$AA$18=E43)*($AB$4:$AB$18=T43),0),3)</f>
        <v>#N/A</v>
      </c>
      <c r="V43" s="819" t="e">
        <f t="array" ref="V43">INDEX($AA$4:$AD$18,MATCH(1,($AA$4:$AA$18=E43)*($AB$4:$AB$18=T43),0),4)</f>
        <v>#N/A</v>
      </c>
      <c r="W43" s="820" t="e">
        <f t="shared" si="4"/>
        <v>#N/A</v>
      </c>
      <c r="X43" s="820" t="b">
        <f t="shared" si="7"/>
        <v>1</v>
      </c>
      <c r="Y43" s="820">
        <f t="shared" si="2"/>
        <v>0</v>
      </c>
      <c r="Z43" s="820" t="b">
        <f t="shared" si="5"/>
        <v>1</v>
      </c>
    </row>
    <row r="44" spans="1:42" ht="15" customHeight="1" thickTop="1" thickBot="1">
      <c r="A44" s="758"/>
      <c r="B44" s="758"/>
      <c r="C44" s="758"/>
      <c r="D44" s="52">
        <v>35</v>
      </c>
      <c r="E44" s="754" t="str">
        <f>IF('FORM 1040-2'!N41="","",('FORM 1040-2'!N41))</f>
        <v/>
      </c>
      <c r="F44" s="754" t="str">
        <f>IF('FORM 1040-2'!O41="","",('FORM 1040-2'!O41))</f>
        <v/>
      </c>
      <c r="G44" s="1592"/>
      <c r="H44" s="538" t="str">
        <f>IF('FORM 1040-2'!R41="","",('FORM 1040-2'!R41)-G44)</f>
        <v/>
      </c>
      <c r="I44" s="846" t="str">
        <f>IF('FORM 1040-2'!D41="","",('FORM 1040-2'!D41))</f>
        <v/>
      </c>
      <c r="J44" s="2146" t="str">
        <f t="shared" si="3"/>
        <v/>
      </c>
      <c r="K44" s="2147"/>
      <c r="L44" s="108"/>
      <c r="M44" s="2124"/>
      <c r="N44" s="39"/>
      <c r="O44" s="758"/>
      <c r="P44" s="758"/>
      <c r="R44" s="52">
        <v>35</v>
      </c>
      <c r="S44" s="540" t="str">
        <f t="shared" si="0"/>
        <v/>
      </c>
      <c r="T44" s="540" t="str">
        <f t="shared" si="6"/>
        <v>BLANK</v>
      </c>
      <c r="U44" s="819" t="e">
        <f t="array" ref="U44">INDEX($AA$4:$AC$18,MATCH(1,($AA$4:$AA$18=E44)*($AB$4:$AB$18=T44),0),3)</f>
        <v>#N/A</v>
      </c>
      <c r="V44" s="819" t="e">
        <f t="array" ref="V44">INDEX($AA$4:$AD$18,MATCH(1,($AA$4:$AA$18=E44)*($AB$4:$AB$18=T44),0),4)</f>
        <v>#N/A</v>
      </c>
      <c r="W44" s="820" t="e">
        <f t="shared" si="4"/>
        <v>#N/A</v>
      </c>
      <c r="X44" s="820" t="b">
        <f t="shared" si="7"/>
        <v>1</v>
      </c>
      <c r="Y44" s="820">
        <f t="shared" si="2"/>
        <v>0</v>
      </c>
      <c r="Z44" s="820" t="b">
        <f t="shared" si="5"/>
        <v>1</v>
      </c>
    </row>
    <row r="45" spans="1:42" ht="15" customHeight="1" thickTop="1" thickBot="1">
      <c r="A45" s="758"/>
      <c r="B45" s="758"/>
      <c r="C45" s="758"/>
      <c r="D45" s="52"/>
      <c r="E45" s="750"/>
      <c r="F45" s="498">
        <f>SUM(F10:F44)</f>
        <v>0</v>
      </c>
      <c r="G45" s="504">
        <f>SUM(G10:G44)</f>
        <v>0</v>
      </c>
      <c r="H45" s="1105">
        <f>+'FORM 1040-2'!H42</f>
        <v>0</v>
      </c>
      <c r="I45" s="2159" t="s">
        <v>2312</v>
      </c>
      <c r="J45" s="2160"/>
      <c r="K45" s="2160"/>
      <c r="L45" s="108"/>
      <c r="M45" s="2124"/>
      <c r="N45" s="39"/>
      <c r="O45" s="758"/>
      <c r="P45" s="758"/>
      <c r="W45" s="87"/>
      <c r="X45" s="87"/>
      <c r="Y45" s="87"/>
      <c r="Z45" s="87"/>
    </row>
    <row r="46" spans="1:42" ht="18" customHeight="1" thickTop="1" thickBot="1">
      <c r="A46" s="758"/>
      <c r="B46" s="758"/>
      <c r="C46" s="758"/>
      <c r="D46" s="85" t="s">
        <v>64</v>
      </c>
      <c r="E46" s="1696" t="s">
        <v>1816</v>
      </c>
      <c r="F46" s="1696"/>
      <c r="G46" s="1696"/>
      <c r="H46" s="1696"/>
      <c r="I46" s="1696"/>
      <c r="J46" s="1696"/>
      <c r="K46" s="1696"/>
      <c r="L46" s="108"/>
      <c r="M46" s="2124"/>
      <c r="N46" s="39"/>
      <c r="O46" s="758"/>
      <c r="P46" s="758"/>
      <c r="W46" s="87"/>
      <c r="X46" s="87"/>
      <c r="Y46" s="87"/>
      <c r="Z46" s="87"/>
      <c r="AA46" s="1685" t="s">
        <v>1837</v>
      </c>
      <c r="AB46" s="1685"/>
      <c r="AC46" s="1685"/>
      <c r="AD46" s="1685"/>
      <c r="AE46" s="1685"/>
      <c r="AF46" s="1685" t="s">
        <v>1453</v>
      </c>
      <c r="AG46" s="1685"/>
      <c r="AH46" s="1685"/>
      <c r="AI46" s="1685"/>
      <c r="AJ46" s="1685"/>
      <c r="AK46" s="1685" t="s">
        <v>742</v>
      </c>
      <c r="AL46" s="1685"/>
      <c r="AM46" s="1685"/>
      <c r="AN46" s="1685"/>
      <c r="AO46" s="1685"/>
    </row>
    <row r="47" spans="1:42" s="758" customFormat="1" ht="66.95" customHeight="1" thickTop="1" thickBot="1">
      <c r="D47" s="206"/>
      <c r="E47" s="754" t="s">
        <v>179</v>
      </c>
      <c r="F47" s="754" t="s">
        <v>180</v>
      </c>
      <c r="G47" s="2152" t="s">
        <v>2749</v>
      </c>
      <c r="H47" s="2153"/>
      <c r="I47" s="536" t="s">
        <v>1812</v>
      </c>
      <c r="J47" s="1764" t="s">
        <v>2655</v>
      </c>
      <c r="K47" s="2006"/>
      <c r="L47" s="108"/>
      <c r="M47" s="2124"/>
      <c r="N47" s="39"/>
      <c r="Q47" s="6"/>
      <c r="S47" s="750"/>
      <c r="T47" s="774"/>
      <c r="U47" s="774"/>
      <c r="V47" s="774"/>
      <c r="W47" s="87"/>
      <c r="X47" s="87"/>
      <c r="Y47" s="87"/>
      <c r="Z47" s="87"/>
      <c r="AA47" s="87" t="s">
        <v>2271</v>
      </c>
      <c r="AB47" s="87" t="s">
        <v>2272</v>
      </c>
      <c r="AC47" s="87" t="s">
        <v>2273</v>
      </c>
      <c r="AD47" s="87" t="s">
        <v>2274</v>
      </c>
      <c r="AE47" s="87" t="s">
        <v>2275</v>
      </c>
      <c r="AF47" s="87" t="s">
        <v>2271</v>
      </c>
      <c r="AG47" s="87" t="s">
        <v>2272</v>
      </c>
      <c r="AH47" s="87" t="s">
        <v>2273</v>
      </c>
      <c r="AI47" s="87" t="s">
        <v>2274</v>
      </c>
      <c r="AJ47" s="87" t="s">
        <v>2275</v>
      </c>
      <c r="AK47" s="87" t="s">
        <v>2276</v>
      </c>
      <c r="AL47" s="87" t="s">
        <v>2277</v>
      </c>
      <c r="AM47" s="87" t="s">
        <v>2278</v>
      </c>
      <c r="AN47" s="87" t="s">
        <v>2279</v>
      </c>
      <c r="AO47" s="87" t="s">
        <v>2280</v>
      </c>
      <c r="AP47" s="6"/>
    </row>
    <row r="48" spans="1:42" ht="15" customHeight="1" thickTop="1" thickBot="1">
      <c r="A48" s="758"/>
      <c r="B48" s="758"/>
      <c r="C48" s="758"/>
      <c r="D48" s="52"/>
      <c r="E48" s="1256"/>
      <c r="F48" s="1256"/>
      <c r="G48" s="2154"/>
      <c r="H48" s="2155"/>
      <c r="I48" s="848"/>
      <c r="J48" s="1764" t="str">
        <f>IF(S48="","",(S48))</f>
        <v/>
      </c>
      <c r="K48" s="2006"/>
      <c r="L48" s="108"/>
      <c r="M48" s="2124"/>
      <c r="N48" s="39"/>
      <c r="O48" s="758"/>
      <c r="P48" s="758"/>
      <c r="S48" s="540" t="str">
        <f>IF(Y48="&lt;-- Enter Unit Detail",Y48,IF(ISERROR(W48),"",W48))</f>
        <v/>
      </c>
      <c r="T48" s="540" t="str">
        <f t="shared" ref="T48:T50" si="8">IF(I48="Rehab of Existing Low-Income Housing","EXISTING",IF(I48="New Construction","NEW",IF(I48="Adaptive Re-Use","ADREUSE",IF(I48="Rehab of Existing Housing","EXISTING","BLANK"))))</f>
        <v>BLANK</v>
      </c>
      <c r="U48" s="819" t="e">
        <f t="array" ref="U48">INDEX($AA$4:$AC$18,MATCH(1,($AA$4:$AA$18=E48)*($AB$4:$AB$18=T48),0),3)</f>
        <v>#N/A</v>
      </c>
      <c r="V48" s="819" t="e">
        <f t="array" ref="V48">INDEX($AA$4:$AD$18,MATCH(1,($AA$4:$AA$18=E48)*($AB$4:$AB$18=T48),0),4)</f>
        <v>#N/A</v>
      </c>
      <c r="W48" s="820" t="e">
        <f>IF(AND(U48&lt;=G48,G48&lt;=V48),"Yes","No")</f>
        <v>#N/A</v>
      </c>
      <c r="X48" s="820" t="b">
        <f>ISBLANK(I48)</f>
        <v>1</v>
      </c>
      <c r="Y48" s="820">
        <f>IF(AND(E48&lt;&gt;"",X48=TRUE),"&lt;-- Enter Unit Detail",0)</f>
        <v>0</v>
      </c>
      <c r="Z48" s="820" t="b">
        <f>IF(OR(J48="No",J48="Enter Unit Detail"),FALSE,TRUE)</f>
        <v>1</v>
      </c>
      <c r="AA48" s="1057">
        <f>IF(AND(E48="Efficiency",I48="Rehab of Existing Low-Income Housing"),F48,0)</f>
        <v>0</v>
      </c>
      <c r="AB48" s="1057">
        <f>IF(AND(E48="1 Bedroom",I48="Rehab of Existing Low-Income Housing"),F48,0)</f>
        <v>0</v>
      </c>
      <c r="AC48" s="1057">
        <f>IF(AND(E48="2 Bedroom",I48="Rehab of Existing Low-Income Housing"),F48,0)</f>
        <v>0</v>
      </c>
      <c r="AD48" s="1057">
        <f>IF(AND(E48="3 Bedroom",I48="Rehab of Existing Low-Income Housing"),F48,0)</f>
        <v>0</v>
      </c>
      <c r="AE48" s="1057">
        <f>IF(AND(E48="4 Bedroom",I48="Rehab of Existing Low-Income Housing"),F48,0)</f>
        <v>0</v>
      </c>
      <c r="AF48" s="1057">
        <f>IF(AND(E48="Efficiency",I48="Rehab of Existing Housing"),F48,0)</f>
        <v>0</v>
      </c>
      <c r="AG48" s="1057">
        <f>IF(AND(E48="1 Bedroom",I48="Rehab of Existing Housing"),F48,0)</f>
        <v>0</v>
      </c>
      <c r="AH48" s="1057">
        <f>IF(AND(E48="2 Bedroom",I48="Rehab of Existing Housing"),F48,0)</f>
        <v>0</v>
      </c>
      <c r="AI48" s="1057">
        <f>IF(AND(E48="3 Bedroom",I48="Rehab of Existing Housing"),F48,0)</f>
        <v>0</v>
      </c>
      <c r="AJ48" s="1057">
        <f>IF(AND(E48="4 Bedroom",I48="Rehab of Existing Housing"),F48,0)</f>
        <v>0</v>
      </c>
      <c r="AK48" s="1057">
        <f>IF(E48="Efficiency",F48-AF48-AA48,0)</f>
        <v>0</v>
      </c>
      <c r="AL48" s="1057">
        <f>IF(E48="1 Bedroom",F48-AG48-AB48,0)</f>
        <v>0</v>
      </c>
      <c r="AM48" s="1057">
        <f>IF(E48="2 Bedroom",F48-AH48-AC48,0)</f>
        <v>0</v>
      </c>
      <c r="AN48" s="1057">
        <f>IF(E48="3 Bedroom",F48-AI48-AD48,0)</f>
        <v>0</v>
      </c>
      <c r="AO48" s="1057">
        <f>IF(E48="4 Bedroom",F48-AJ48-AE48,0)</f>
        <v>0</v>
      </c>
    </row>
    <row r="49" spans="1:42" s="775" customFormat="1" ht="15" customHeight="1" thickTop="1" thickBot="1">
      <c r="D49" s="52"/>
      <c r="E49" s="1256"/>
      <c r="F49" s="1256"/>
      <c r="G49" s="2154"/>
      <c r="H49" s="2155"/>
      <c r="I49" s="848"/>
      <c r="J49" s="1764" t="str">
        <f>IF(S49="","",(S49))</f>
        <v/>
      </c>
      <c r="K49" s="2006"/>
      <c r="L49" s="108"/>
      <c r="M49" s="2124"/>
      <c r="N49" s="39"/>
      <c r="Q49" s="6"/>
      <c r="S49" s="540" t="str">
        <f>IF(Y49="&lt;-- Enter Unit Detail",Y49,IF(ISERROR(W49),"",W49))</f>
        <v/>
      </c>
      <c r="T49" s="540" t="str">
        <f t="shared" si="8"/>
        <v>BLANK</v>
      </c>
      <c r="U49" s="819" t="e">
        <f t="array" ref="U49">INDEX($AA$4:$AC$18,MATCH(1,($AA$4:$AA$18=E49)*($AB$4:$AB$18=T49),0),3)</f>
        <v>#N/A</v>
      </c>
      <c r="V49" s="819" t="e">
        <f t="array" ref="V49">INDEX($AA$4:$AD$18,MATCH(1,($AA$4:$AA$18=E49)*($AB$4:$AB$18=T49),0),4)</f>
        <v>#N/A</v>
      </c>
      <c r="W49" s="820" t="e">
        <f>IF(AND(U49&lt;=G49,G49&lt;=V49),"Yes","No")</f>
        <v>#N/A</v>
      </c>
      <c r="X49" s="820" t="b">
        <f>ISBLANK(I49)</f>
        <v>1</v>
      </c>
      <c r="Y49" s="820">
        <f>IF(AND(E49&lt;&gt;"",X49=TRUE),"&lt;-- Enter Unit Detail",0)</f>
        <v>0</v>
      </c>
      <c r="Z49" s="820" t="b">
        <f>IF(OR(J49="No",J49="Enter Unit Detail"),FALSE,TRUE)</f>
        <v>1</v>
      </c>
      <c r="AA49" s="1057">
        <f>IF(AND(E49="Efficiency",I49="Rehab of Existing Low-Income Housing"),F49,0)</f>
        <v>0</v>
      </c>
      <c r="AB49" s="1057">
        <f>IF(AND(E49="1 Bedroom",I49="Rehab of Existing Low-Income Housing"),F49,0)</f>
        <v>0</v>
      </c>
      <c r="AC49" s="1057">
        <f>IF(AND(E49="2 Bedroom",I49="Rehab of Existing Low-Income Housing"),F49,0)</f>
        <v>0</v>
      </c>
      <c r="AD49" s="1057">
        <f>IF(AND(E49="3 Bedroom",I49="Rehab of Existing Low-Income Housing"),F49,0)</f>
        <v>0</v>
      </c>
      <c r="AE49" s="1057">
        <f>IF(AND(E49="4 Bedroom",I49="Rehab of Existing Low-Income Housing"),F49,0)</f>
        <v>0</v>
      </c>
      <c r="AF49" s="1057">
        <f>IF(AND(E49="Efficiency",I49="Rehab of Existing Housing"),F49,0)</f>
        <v>0</v>
      </c>
      <c r="AG49" s="1057">
        <f>IF(AND(E49="1 Bedroom",I49="Rehab of Existing Housing"),F49,0)</f>
        <v>0</v>
      </c>
      <c r="AH49" s="1057">
        <f>IF(AND(E49="2 Bedroom",I49="Rehab of Existing Housing"),F49,0)</f>
        <v>0</v>
      </c>
      <c r="AI49" s="1057">
        <f>IF(AND(E49="3 Bedroom",I49="Rehab of Existing Housing"),F49,0)</f>
        <v>0</v>
      </c>
      <c r="AJ49" s="1057">
        <f>IF(AND(E49="4 Bedroom",I49="Rehab of Existing Housing"),F49,0)</f>
        <v>0</v>
      </c>
      <c r="AK49" s="1057">
        <f>IF(E49="Efficiency",F49-AF49-AA49,0)</f>
        <v>0</v>
      </c>
      <c r="AL49" s="1057">
        <f>IF(E49="1 Bedroom",F49-AG49-AB49,0)</f>
        <v>0</v>
      </c>
      <c r="AM49" s="1057">
        <f>IF(E49="2 Bedroom",F49-AH49-AC49,0)</f>
        <v>0</v>
      </c>
      <c r="AN49" s="1057">
        <f>IF(E49="3 Bedroom",F49-AI49-AD49,0)</f>
        <v>0</v>
      </c>
      <c r="AO49" s="1057">
        <f>IF(E49="4 Bedroom",F49-AJ49-AE49,0)</f>
        <v>0</v>
      </c>
      <c r="AP49" s="6"/>
    </row>
    <row r="50" spans="1:42" ht="15" customHeight="1" thickTop="1" thickBot="1">
      <c r="A50" s="758"/>
      <c r="B50" s="758"/>
      <c r="C50" s="758"/>
      <c r="D50" s="52"/>
      <c r="E50" s="1256"/>
      <c r="F50" s="1256"/>
      <c r="G50" s="2154"/>
      <c r="H50" s="2155"/>
      <c r="I50" s="848"/>
      <c r="J50" s="1764" t="str">
        <f>IF(S50="","",(S50))</f>
        <v/>
      </c>
      <c r="K50" s="2006"/>
      <c r="L50" s="108"/>
      <c r="M50" s="2124"/>
      <c r="N50" s="39"/>
      <c r="O50" s="758"/>
      <c r="P50" s="758"/>
      <c r="S50" s="540" t="str">
        <f>IF(Y50="&lt;-- Enter Unit Detail",Y50,IF(ISERROR(W50),"",W50))</f>
        <v/>
      </c>
      <c r="T50" s="540" t="str">
        <f t="shared" si="8"/>
        <v>BLANK</v>
      </c>
      <c r="U50" s="819" t="e">
        <f t="array" ref="U50">INDEX($AA$4:$AC$18,MATCH(1,($AA$4:$AA$18=E50)*($AB$4:$AB$18=T50),0),3)</f>
        <v>#N/A</v>
      </c>
      <c r="V50" s="819" t="e">
        <f t="array" ref="V50">INDEX($AA$4:$AD$18,MATCH(1,($AA$4:$AA$18=E50)*($AB$4:$AB$18=T50),0),4)</f>
        <v>#N/A</v>
      </c>
      <c r="W50" s="820" t="e">
        <f>IF(AND(U50&lt;=G50,G50&lt;=V50),"Yes","No")</f>
        <v>#N/A</v>
      </c>
      <c r="X50" s="820" t="b">
        <f>ISBLANK(I50)</f>
        <v>1</v>
      </c>
      <c r="Y50" s="820">
        <f>IF(AND(E50&lt;&gt;"",X50=TRUE),"&lt;-- Enter Unit Detail",0)</f>
        <v>0</v>
      </c>
      <c r="Z50" s="820" t="b">
        <f>IF(OR(J50="No",J50="Enter Unit Detail"),FALSE,TRUE)</f>
        <v>1</v>
      </c>
      <c r="AA50" s="1057">
        <f>IF(AND(E50="Efficiency",I50="Rehab of Existing Low-Income Housing"),F50,0)</f>
        <v>0</v>
      </c>
      <c r="AB50" s="1057">
        <f>IF(AND(E50="1 Bedroom",I50="Rehab of Existing Low-Income Housing"),F50,0)</f>
        <v>0</v>
      </c>
      <c r="AC50" s="1057">
        <f>IF(AND(E50="2 Bedroom",I50="Rehab of Existing Low-Income Housing"),F50,0)</f>
        <v>0</v>
      </c>
      <c r="AD50" s="1057">
        <f>IF(AND(E50="3 Bedroom",I50="Rehab of Existing Low-Income Housing"),F50,0)</f>
        <v>0</v>
      </c>
      <c r="AE50" s="1057">
        <f>IF(AND(E50="4 Bedroom",I50="Rehab of Existing Low-Income Housing"),F50,0)</f>
        <v>0</v>
      </c>
      <c r="AF50" s="1057">
        <f>IF(AND(E50="Efficiency",I50="Rehab of Existing Housing"),F50,0)</f>
        <v>0</v>
      </c>
      <c r="AG50" s="1057">
        <f>IF(AND(E50="1 Bedroom",I50="Rehab of Existing Housing"),F50,0)</f>
        <v>0</v>
      </c>
      <c r="AH50" s="1057">
        <f>IF(AND(E50="2 Bedroom",I50="Rehab of Existing Housing"),F50,0)</f>
        <v>0</v>
      </c>
      <c r="AI50" s="1057">
        <f>IF(AND(E50="3 Bedroom",I50="Rehab of Existing Housing"),F50,0)</f>
        <v>0</v>
      </c>
      <c r="AJ50" s="1057">
        <f>IF(AND(E50="4 Bedroom",I50="Rehab of Existing Housing"),F50,0)</f>
        <v>0</v>
      </c>
      <c r="AK50" s="1057">
        <f>IF(E50="Efficiency",F50-AF50-AA50,0)</f>
        <v>0</v>
      </c>
      <c r="AL50" s="1057">
        <f>IF(E50="1 Bedroom",F50-AG50-AB50,0)</f>
        <v>0</v>
      </c>
      <c r="AM50" s="1057">
        <f>IF(E50="2 Bedroom",F50-AH50-AC50,0)</f>
        <v>0</v>
      </c>
      <c r="AN50" s="1057">
        <f>IF(E50="3 Bedroom",F50-AI50-AD50,0)</f>
        <v>0</v>
      </c>
      <c r="AO50" s="1057">
        <f>IF(E50="4 Bedroom",F50-AJ50-AE50,0)</f>
        <v>0</v>
      </c>
    </row>
    <row r="51" spans="1:42" ht="15" customHeight="1" thickTop="1" thickBot="1">
      <c r="A51" s="758"/>
      <c r="B51" s="758"/>
      <c r="C51" s="758"/>
      <c r="D51" s="758"/>
      <c r="E51" s="750"/>
      <c r="F51" s="818">
        <f>SUM(F48:F50)</f>
        <v>0</v>
      </c>
      <c r="G51" s="2156">
        <f>+F48*G48+F49*G49+F50*G50</f>
        <v>0</v>
      </c>
      <c r="H51" s="2157"/>
      <c r="I51" s="2149" t="s">
        <v>2313</v>
      </c>
      <c r="J51" s="2150"/>
      <c r="K51" s="2150"/>
      <c r="L51" s="108"/>
      <c r="M51" s="2124"/>
      <c r="N51" s="39"/>
      <c r="O51" s="758"/>
      <c r="P51" s="758"/>
      <c r="AA51" s="1121">
        <f>SUM(AA48:AA50)</f>
        <v>0</v>
      </c>
      <c r="AB51" s="1121">
        <f t="shared" ref="AB51:AO51" si="9">SUM(AB48:AB50)</f>
        <v>0</v>
      </c>
      <c r="AC51" s="1121">
        <f t="shared" si="9"/>
        <v>0</v>
      </c>
      <c r="AD51" s="1121">
        <f t="shared" si="9"/>
        <v>0</v>
      </c>
      <c r="AE51" s="1121">
        <f t="shared" si="9"/>
        <v>0</v>
      </c>
      <c r="AF51" s="1121">
        <f t="shared" si="9"/>
        <v>0</v>
      </c>
      <c r="AG51" s="1121">
        <f t="shared" si="9"/>
        <v>0</v>
      </c>
      <c r="AH51" s="1121">
        <f t="shared" si="9"/>
        <v>0</v>
      </c>
      <c r="AI51" s="1121">
        <f t="shared" si="9"/>
        <v>0</v>
      </c>
      <c r="AJ51" s="1121">
        <f t="shared" si="9"/>
        <v>0</v>
      </c>
      <c r="AK51" s="1121">
        <f t="shared" si="9"/>
        <v>0</v>
      </c>
      <c r="AL51" s="1121">
        <f t="shared" si="9"/>
        <v>0</v>
      </c>
      <c r="AM51" s="1121">
        <f t="shared" si="9"/>
        <v>0</v>
      </c>
      <c r="AN51" s="1121">
        <f t="shared" si="9"/>
        <v>0</v>
      </c>
      <c r="AO51" s="1121">
        <f t="shared" si="9"/>
        <v>0</v>
      </c>
    </row>
    <row r="52" spans="1:42" ht="15" customHeight="1" thickTop="1" thickBot="1">
      <c r="A52" s="758"/>
      <c r="B52" s="758"/>
      <c r="C52" s="758"/>
      <c r="D52" s="758"/>
      <c r="E52" s="758"/>
      <c r="F52" s="821">
        <f>+F45+F51</f>
        <v>0</v>
      </c>
      <c r="G52" s="2144">
        <f>+G51+H45</f>
        <v>0</v>
      </c>
      <c r="H52" s="2145"/>
      <c r="I52" s="2151" t="s">
        <v>2314</v>
      </c>
      <c r="J52" s="1771"/>
      <c r="K52" s="1771"/>
      <c r="L52" s="108"/>
      <c r="M52" s="2124"/>
      <c r="N52" s="39"/>
      <c r="O52" s="758"/>
      <c r="P52" s="758"/>
      <c r="AE52" s="1056" t="s">
        <v>2282</v>
      </c>
      <c r="AF52" s="1038">
        <f>+AA51+AF51</f>
        <v>0</v>
      </c>
      <c r="AG52" s="1038">
        <f>+AB51+AG51</f>
        <v>0</v>
      </c>
      <c r="AH52" s="1038">
        <f>+AC51+AH51</f>
        <v>0</v>
      </c>
      <c r="AI52" s="1038">
        <f>+AD51+AI51</f>
        <v>0</v>
      </c>
      <c r="AJ52" s="1038">
        <f>+AE51+AJ51</f>
        <v>0</v>
      </c>
    </row>
    <row r="53" spans="1:42" s="39" customFormat="1" ht="6" customHeight="1" thickTop="1" thickBot="1">
      <c r="F53" s="773"/>
      <c r="G53" s="1516"/>
      <c r="H53" s="108"/>
      <c r="I53" s="108"/>
      <c r="J53" s="108"/>
      <c r="K53" s="108"/>
      <c r="L53" s="108"/>
      <c r="M53" s="2124"/>
      <c r="Q53" s="6"/>
      <c r="S53" s="87"/>
      <c r="T53" s="87"/>
      <c r="U53" s="87"/>
      <c r="V53" s="87"/>
      <c r="W53" s="87"/>
      <c r="X53" s="87"/>
      <c r="Y53" s="87"/>
      <c r="Z53" s="87"/>
      <c r="AA53" s="87"/>
      <c r="AB53" s="87"/>
      <c r="AC53" s="87"/>
      <c r="AD53" s="87"/>
      <c r="AE53" s="87"/>
      <c r="AF53" s="87"/>
      <c r="AG53" s="87"/>
      <c r="AH53" s="87"/>
      <c r="AI53" s="87"/>
      <c r="AJ53" s="87"/>
      <c r="AK53" s="87"/>
      <c r="AL53" s="87"/>
      <c r="AM53" s="87"/>
      <c r="AN53" s="87"/>
      <c r="AO53" s="87"/>
      <c r="AP53" s="6"/>
    </row>
    <row r="54" spans="1:42" ht="26.1" customHeight="1" thickBot="1">
      <c r="C54" s="132"/>
      <c r="D54" s="206" t="s">
        <v>67</v>
      </c>
      <c r="E54" s="1656" t="s">
        <v>1822</v>
      </c>
      <c r="F54" s="1656"/>
      <c r="G54" s="1656"/>
      <c r="H54" s="1656"/>
      <c r="I54" s="1656"/>
      <c r="J54" s="1656"/>
      <c r="K54" s="438"/>
      <c r="L54" s="108"/>
      <c r="M54" s="2128"/>
      <c r="N54" s="39"/>
      <c r="O54" s="425">
        <f>IF(OR(Z10=FALSE,Z11=FALSE,Z12=FALSE,Z13=FALSE,Z14=FALSE,Z15=FALSE,Z16=FALSE,Z17=FALSE,Z17=FALSE,Z18=FALSE,Z19=FALSE,Z20=FALSE,Z21=FALSE,Z22=FALSE,Z23=FALSE,Z24=FALSE,Z25=FALSE,Z26=FALSE,Z27=FALSE,Z28=FALSE,Z29=FALSE,Z30=FALSE,Z31=FALSE,Z32=FALSE,Z33=FALSE,Z34=FALSE,Z35=FALSE,Z36=FALSE,Z37=FALSE,Z38=FALSE,Z39=FALSE,Z40=FALSE,Z41=FALSE,Z42=FALSE,Z43=FALSE,Z44=FALSE,Z48=FALSE,Z49=FALSE,Z50=FALSE,K54=FALSE),0,10)</f>
        <v>0</v>
      </c>
    </row>
    <row r="55" spans="1:42" ht="26.1" customHeight="1" thickTop="1">
      <c r="A55" s="8"/>
      <c r="B55" s="8"/>
      <c r="C55" s="8"/>
      <c r="D55" s="8"/>
      <c r="E55" s="24"/>
      <c r="F55" s="24"/>
      <c r="G55" s="1522"/>
      <c r="H55" s="24"/>
      <c r="I55" s="172"/>
      <c r="J55" s="172"/>
      <c r="K55" s="528"/>
      <c r="L55" s="541"/>
      <c r="M55" s="541"/>
      <c r="N55" s="108"/>
    </row>
    <row r="56" spans="1:42" ht="15" customHeight="1">
      <c r="A56" s="758"/>
      <c r="B56" s="758"/>
      <c r="C56" s="758"/>
      <c r="D56" s="758"/>
      <c r="E56" s="758"/>
      <c r="F56" s="758"/>
      <c r="H56" s="758"/>
      <c r="I56" s="758"/>
      <c r="J56" s="758"/>
      <c r="K56" s="758"/>
      <c r="L56" s="758"/>
      <c r="M56" s="758"/>
      <c r="N56" s="758"/>
      <c r="O56" s="758"/>
      <c r="P56" s="758"/>
    </row>
    <row r="57" spans="1:42" ht="15" customHeight="1">
      <c r="A57" s="758"/>
      <c r="B57" s="758"/>
      <c r="C57" s="758"/>
      <c r="D57" s="758"/>
      <c r="E57" s="758"/>
      <c r="F57" s="758"/>
      <c r="H57" s="758"/>
      <c r="I57" s="758"/>
      <c r="J57" s="758"/>
      <c r="K57" s="758"/>
      <c r="L57" s="758"/>
      <c r="M57" s="758"/>
      <c r="N57" s="758"/>
      <c r="O57" s="758"/>
      <c r="P57" s="758"/>
    </row>
    <row r="58" spans="1:42" ht="15" customHeight="1">
      <c r="A58" s="758"/>
      <c r="B58" s="758"/>
      <c r="C58" s="758"/>
      <c r="D58" s="758"/>
      <c r="E58" s="758"/>
      <c r="F58" s="758"/>
      <c r="H58" s="758"/>
      <c r="I58" s="758"/>
      <c r="J58" s="758"/>
      <c r="K58" s="758"/>
      <c r="L58" s="758"/>
      <c r="M58" s="758"/>
      <c r="N58" s="758"/>
      <c r="O58" s="758"/>
      <c r="P58" s="758"/>
    </row>
    <row r="59" spans="1:42" ht="15" customHeight="1">
      <c r="A59" s="758"/>
      <c r="B59" s="758"/>
      <c r="C59" s="758"/>
      <c r="D59" s="758"/>
      <c r="E59" s="758"/>
      <c r="F59" s="758"/>
      <c r="H59" s="758"/>
      <c r="I59" s="758"/>
      <c r="J59" s="758"/>
      <c r="K59" s="758"/>
      <c r="L59" s="758"/>
      <c r="M59" s="758"/>
      <c r="N59" s="758"/>
      <c r="O59" s="758"/>
      <c r="P59" s="758"/>
    </row>
    <row r="60" spans="1:42" ht="15" customHeight="1">
      <c r="A60" s="758"/>
      <c r="B60" s="758"/>
      <c r="C60" s="758"/>
      <c r="D60" s="758"/>
      <c r="E60" s="758"/>
      <c r="F60" s="758"/>
      <c r="H60" s="758"/>
      <c r="I60" s="758"/>
      <c r="J60" s="758"/>
      <c r="K60" s="758"/>
      <c r="L60" s="758"/>
      <c r="M60" s="758"/>
      <c r="N60" s="758"/>
      <c r="O60" s="758"/>
      <c r="P60" s="758"/>
    </row>
    <row r="61" spans="1:42" ht="15" customHeight="1">
      <c r="A61" s="758"/>
      <c r="B61" s="758"/>
      <c r="C61" s="758"/>
      <c r="D61" s="758"/>
      <c r="E61" s="758"/>
      <c r="F61" s="758"/>
      <c r="H61" s="758"/>
      <c r="I61" s="758"/>
      <c r="J61" s="758"/>
      <c r="K61" s="758"/>
      <c r="L61" s="758"/>
      <c r="M61" s="758"/>
      <c r="N61" s="758"/>
      <c r="O61" s="758"/>
      <c r="P61" s="758"/>
    </row>
    <row r="62" spans="1:42" ht="15" customHeight="1">
      <c r="A62" s="758"/>
      <c r="B62" s="758"/>
      <c r="C62" s="758"/>
      <c r="D62" s="758"/>
      <c r="E62" s="758"/>
      <c r="F62" s="758"/>
      <c r="H62" s="758"/>
      <c r="I62" s="758"/>
      <c r="J62" s="758"/>
      <c r="K62" s="758"/>
      <c r="L62" s="758"/>
      <c r="M62" s="758"/>
      <c r="N62" s="758"/>
      <c r="O62" s="758"/>
      <c r="P62" s="758"/>
    </row>
    <row r="63" spans="1:42" ht="15" customHeight="1">
      <c r="A63" s="758"/>
      <c r="B63" s="758"/>
      <c r="C63" s="758"/>
      <c r="D63" s="758"/>
      <c r="E63" s="758"/>
      <c r="F63" s="758"/>
      <c r="H63" s="758"/>
      <c r="I63" s="758"/>
      <c r="J63" s="758"/>
      <c r="K63" s="758"/>
      <c r="L63" s="758"/>
      <c r="M63" s="758"/>
      <c r="N63" s="758"/>
      <c r="O63" s="758"/>
      <c r="P63" s="758"/>
    </row>
    <row r="64" spans="1:42" ht="15" customHeight="1">
      <c r="A64" s="758"/>
      <c r="B64" s="758"/>
      <c r="C64" s="758"/>
      <c r="D64" s="758"/>
      <c r="E64" s="758"/>
      <c r="F64" s="758"/>
      <c r="H64" s="758"/>
      <c r="I64" s="758"/>
      <c r="J64" s="758"/>
      <c r="K64" s="758"/>
      <c r="L64" s="758"/>
      <c r="M64" s="758"/>
      <c r="N64" s="758"/>
      <c r="O64" s="758"/>
      <c r="P64" s="758"/>
    </row>
    <row r="65" spans="1:16" ht="15" customHeight="1">
      <c r="A65" s="758"/>
      <c r="B65" s="758"/>
      <c r="C65" s="758"/>
      <c r="D65" s="758"/>
      <c r="E65" s="758"/>
      <c r="F65" s="758"/>
      <c r="H65" s="758"/>
      <c r="I65" s="758"/>
      <c r="J65" s="758"/>
      <c r="K65" s="758"/>
      <c r="L65" s="758"/>
      <c r="M65" s="758"/>
      <c r="N65" s="758"/>
      <c r="O65" s="758"/>
      <c r="P65" s="758"/>
    </row>
    <row r="66" spans="1:16" ht="15" customHeight="1">
      <c r="A66" s="758"/>
      <c r="B66" s="758"/>
      <c r="C66" s="758"/>
      <c r="D66" s="758"/>
      <c r="E66" s="758"/>
      <c r="F66" s="758"/>
      <c r="H66" s="758"/>
      <c r="I66" s="758"/>
      <c r="J66" s="758"/>
      <c r="K66" s="758"/>
      <c r="L66" s="758"/>
      <c r="M66" s="758"/>
      <c r="N66" s="758"/>
      <c r="O66" s="758"/>
      <c r="P66" s="758"/>
    </row>
    <row r="67" spans="1:16" ht="15" customHeight="1">
      <c r="A67" s="758"/>
      <c r="B67" s="758"/>
      <c r="C67" s="758"/>
      <c r="D67" s="758"/>
      <c r="E67" s="758"/>
      <c r="F67" s="758"/>
      <c r="H67" s="758"/>
      <c r="I67" s="758"/>
      <c r="J67" s="758"/>
      <c r="K67" s="758"/>
      <c r="L67" s="758"/>
      <c r="M67" s="758"/>
      <c r="N67" s="758"/>
      <c r="O67" s="758"/>
      <c r="P67" s="758"/>
    </row>
    <row r="68" spans="1:16" ht="15" customHeight="1">
      <c r="A68" s="758"/>
      <c r="B68" s="758"/>
      <c r="C68" s="758"/>
      <c r="D68" s="758"/>
      <c r="E68" s="758"/>
      <c r="F68" s="758"/>
      <c r="H68" s="758"/>
      <c r="I68" s="758"/>
      <c r="J68" s="758"/>
      <c r="K68" s="758"/>
      <c r="L68" s="758"/>
      <c r="M68" s="758"/>
      <c r="N68" s="758"/>
      <c r="O68" s="758"/>
      <c r="P68" s="758"/>
    </row>
    <row r="69" spans="1:16" ht="15" customHeight="1">
      <c r="A69" s="758"/>
      <c r="B69" s="758"/>
      <c r="C69" s="758"/>
      <c r="D69" s="758"/>
      <c r="E69" s="758"/>
      <c r="F69" s="758"/>
      <c r="H69" s="758"/>
      <c r="I69" s="758"/>
      <c r="J69" s="758"/>
      <c r="K69" s="758"/>
      <c r="L69" s="758"/>
      <c r="M69" s="758"/>
      <c r="N69" s="758"/>
      <c r="O69" s="758"/>
      <c r="P69" s="758"/>
    </row>
    <row r="70" spans="1:16" ht="15" customHeight="1">
      <c r="A70" s="758"/>
      <c r="B70" s="758"/>
      <c r="C70" s="758"/>
      <c r="D70" s="758"/>
      <c r="E70" s="758"/>
      <c r="F70" s="758"/>
      <c r="H70" s="758"/>
      <c r="I70" s="758"/>
      <c r="J70" s="758"/>
      <c r="K70" s="758"/>
      <c r="L70" s="758"/>
      <c r="M70" s="758"/>
      <c r="N70" s="758"/>
      <c r="O70" s="758"/>
      <c r="P70" s="758"/>
    </row>
    <row r="71" spans="1:16" ht="15" customHeight="1">
      <c r="A71" s="758"/>
      <c r="B71" s="758"/>
      <c r="C71" s="758"/>
      <c r="D71" s="758"/>
      <c r="E71" s="758"/>
      <c r="F71" s="758"/>
      <c r="H71" s="758"/>
      <c r="I71" s="758"/>
      <c r="J71" s="758"/>
      <c r="K71" s="758"/>
      <c r="L71" s="758"/>
      <c r="M71" s="758"/>
      <c r="N71" s="758"/>
      <c r="O71" s="758"/>
      <c r="P71" s="758"/>
    </row>
    <row r="1048571" spans="9:10" ht="15" customHeight="1">
      <c r="I1048571" s="2148"/>
      <c r="J1048571" s="2148"/>
    </row>
  </sheetData>
  <sheetProtection algorithmName="SHA-512" hashValue="T6YBxAp+vF+uIiomC9b+22GbuMQR8pSPBx5rcwdpmzgkxiawveghyK0JwtQGzgniO7bBJ31fbBqF+ueKXDL4TA==" saltValue="6fuNP7IIXFlU9F3SSfN34g==" spinCount="100000" sheet="1" objects="1" scenarios="1"/>
  <mergeCells count="62">
    <mergeCell ref="J13:K13"/>
    <mergeCell ref="C3:E3"/>
    <mergeCell ref="F3:M3"/>
    <mergeCell ref="M6:M54"/>
    <mergeCell ref="J39:K39"/>
    <mergeCell ref="J40:K40"/>
    <mergeCell ref="J37:K37"/>
    <mergeCell ref="J30:K30"/>
    <mergeCell ref="J19:K19"/>
    <mergeCell ref="J20:K20"/>
    <mergeCell ref="J24:K24"/>
    <mergeCell ref="I45:K45"/>
    <mergeCell ref="J41:K41"/>
    <mergeCell ref="J42:K42"/>
    <mergeCell ref="J38:K38"/>
    <mergeCell ref="J35:K35"/>
    <mergeCell ref="N1:P4"/>
    <mergeCell ref="J10:K10"/>
    <mergeCell ref="J11:K11"/>
    <mergeCell ref="J12:K12"/>
    <mergeCell ref="D6:K6"/>
    <mergeCell ref="E8:K8"/>
    <mergeCell ref="J9:K9"/>
    <mergeCell ref="AK46:AO46"/>
    <mergeCell ref="I1048571:J1048571"/>
    <mergeCell ref="J50:K50"/>
    <mergeCell ref="E46:K46"/>
    <mergeCell ref="AA46:AE46"/>
    <mergeCell ref="E54:J54"/>
    <mergeCell ref="J49:K49"/>
    <mergeCell ref="I51:K51"/>
    <mergeCell ref="I52:K52"/>
    <mergeCell ref="J47:K47"/>
    <mergeCell ref="J48:K48"/>
    <mergeCell ref="G47:H47"/>
    <mergeCell ref="G48:H48"/>
    <mergeCell ref="G49:H49"/>
    <mergeCell ref="G50:H50"/>
    <mergeCell ref="G51:H51"/>
    <mergeCell ref="J15:K15"/>
    <mergeCell ref="J16:K16"/>
    <mergeCell ref="J17:K17"/>
    <mergeCell ref="J18:K18"/>
    <mergeCell ref="AF46:AJ46"/>
    <mergeCell ref="J43:K43"/>
    <mergeCell ref="J44:K44"/>
    <mergeCell ref="G52:H52"/>
    <mergeCell ref="S8:Y8"/>
    <mergeCell ref="J21:K21"/>
    <mergeCell ref="J22:K22"/>
    <mergeCell ref="J36:K36"/>
    <mergeCell ref="J23:K23"/>
    <mergeCell ref="J25:K25"/>
    <mergeCell ref="J26:K26"/>
    <mergeCell ref="J27:K27"/>
    <mergeCell ref="J28:K28"/>
    <mergeCell ref="J31:K31"/>
    <mergeCell ref="J32:K32"/>
    <mergeCell ref="J29:K29"/>
    <mergeCell ref="J33:K33"/>
    <mergeCell ref="J34:K34"/>
    <mergeCell ref="J14:K14"/>
  </mergeCells>
  <dataValidations count="4">
    <dataValidation type="list" allowBlank="1" showInputMessage="1" showErrorMessage="1" sqref="K54" xr:uid="{00000000-0002-0000-2100-000000000000}">
      <formula1>$U$3:$U$4</formula1>
    </dataValidation>
    <dataValidation type="list" allowBlank="1" showInputMessage="1" showErrorMessage="1" sqref="E48:E50" xr:uid="{00000000-0002-0000-2100-000001000000}">
      <formula1>$T$3:$T$7</formula1>
    </dataValidation>
    <dataValidation type="list" allowBlank="1" showInputMessage="1" showErrorMessage="1" sqref="I48:I50" xr:uid="{00000000-0002-0000-2100-000002000000}">
      <formula1>$S$3:$S$6</formula1>
    </dataValidation>
    <dataValidation type="decimal" operator="greaterThanOrEqual" allowBlank="1" showInputMessage="1" showErrorMessage="1" sqref="G10:G44" xr:uid="{42299259-7B89-43B4-B081-A94BD591548C}">
      <formula1>0</formula1>
    </dataValidation>
  </dataValidations>
  <pageMargins left="0.75" right="0.5" top="0.5" bottom="0.75" header="0" footer="0.5"/>
  <pageSetup scale="80" firstPageNumber="12" orientation="portrait" r:id="rId1"/>
  <headerFooter alignWithMargins="0">
    <oddFooter>&amp;C&amp;A&amp;R&amp;D &amp;T</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1">
    <pageSetUpPr fitToPage="1"/>
  </sheetPr>
  <dimension ref="A1:AB49"/>
  <sheetViews>
    <sheetView zoomScaleNormal="100" workbookViewId="0"/>
  </sheetViews>
  <sheetFormatPr defaultColWidth="10.7109375" defaultRowHeight="15" customHeight="1"/>
  <cols>
    <col min="1" max="1" width="4.7109375" style="4" customWidth="1"/>
    <col min="2" max="2" width="2.7109375" style="4" customWidth="1"/>
    <col min="3" max="3" width="3.5703125" style="4" customWidth="1"/>
    <col min="4" max="4" width="3.7109375" style="4" customWidth="1"/>
    <col min="5" max="5" width="4.7109375" style="4" customWidth="1"/>
    <col min="6"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4.7109375" style="4" customWidth="1"/>
    <col min="14" max="17" width="2.7109375" style="4" customWidth="1"/>
    <col min="18" max="18" width="12" style="4" customWidth="1"/>
    <col min="19" max="19" width="14.7109375" style="4" customWidth="1"/>
    <col min="20" max="20" width="12.7109375" style="4" customWidth="1"/>
    <col min="21" max="21" width="1.7109375" style="4" customWidth="1"/>
    <col min="22" max="22" width="9.7109375" style="4" customWidth="1"/>
    <col min="23" max="25" width="10.7109375" style="4" customWidth="1"/>
    <col min="26" max="26" width="5.7109375" style="6" customWidth="1"/>
    <col min="27" max="27" width="10.7109375" style="801" hidden="1" customWidth="1"/>
    <col min="28" max="28" width="5.7109375" style="6" customWidth="1"/>
    <col min="29" max="35" width="10.7109375" style="4" customWidth="1"/>
    <col min="36" max="16384" width="10.7109375" style="4"/>
  </cols>
  <sheetData>
    <row r="1" spans="1:28" s="814" customFormat="1" ht="15" customHeigh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303"/>
      <c r="V1" s="1294" t="str">
        <f>IF('FORM 1040-1'!$E$12="","",'FORM 1040-1'!$E$12)</f>
        <v/>
      </c>
      <c r="W1" s="2072" t="s">
        <v>1621</v>
      </c>
      <c r="X1" s="2072"/>
      <c r="Y1" s="2072"/>
      <c r="Z1" s="6"/>
      <c r="AA1" s="801"/>
      <c r="AB1" s="6"/>
    </row>
    <row r="2" spans="1:28" s="814" customFormat="1" ht="15" customHeight="1">
      <c r="W2" s="2072"/>
      <c r="X2" s="2072"/>
      <c r="Y2" s="2072"/>
      <c r="Z2" s="6"/>
      <c r="AA2" s="801"/>
      <c r="AB2" s="6"/>
    </row>
    <row r="3" spans="1:28" ht="15" customHeight="1" thickBot="1">
      <c r="A3" s="12" t="s">
        <v>21</v>
      </c>
      <c r="B3" s="85" t="s">
        <v>112</v>
      </c>
      <c r="C3" s="2131" t="s">
        <v>298</v>
      </c>
      <c r="D3" s="2131"/>
      <c r="E3" s="2131"/>
      <c r="F3" s="2131"/>
      <c r="G3" s="2131"/>
      <c r="H3" s="2158" t="str">
        <f>IF('FORM 1040-20'!I7="","",('FORM 1040-20'!I7))</f>
        <v/>
      </c>
      <c r="I3" s="2158"/>
      <c r="J3" s="2158"/>
      <c r="K3" s="2158"/>
      <c r="L3" s="2158"/>
      <c r="M3" s="2158"/>
      <c r="N3" s="2158"/>
      <c r="O3" s="2158"/>
      <c r="P3" s="2158"/>
      <c r="Q3" s="2158"/>
      <c r="R3" s="2158"/>
      <c r="S3" s="2158"/>
      <c r="T3" s="2158"/>
      <c r="U3" s="2158"/>
      <c r="V3" s="2158"/>
      <c r="W3" s="2072"/>
      <c r="X3" s="2072"/>
      <c r="Y3" s="2072"/>
      <c r="AA3" s="293" t="b">
        <v>1</v>
      </c>
    </row>
    <row r="4" spans="1:28" ht="6" customHeight="1" thickTop="1">
      <c r="W4" s="2072"/>
      <c r="X4" s="2072"/>
      <c r="Y4" s="2072"/>
      <c r="AA4" s="293" t="b">
        <v>0</v>
      </c>
    </row>
    <row r="5" spans="1:28" ht="12.95" customHeight="1" thickBot="1">
      <c r="T5" s="526"/>
      <c r="U5" s="526"/>
      <c r="V5" s="526" t="s">
        <v>812</v>
      </c>
      <c r="X5" s="424" t="s">
        <v>795</v>
      </c>
      <c r="AA5" s="87"/>
    </row>
    <row r="6" spans="1:28" ht="15" customHeight="1">
      <c r="C6" s="132">
        <v>12</v>
      </c>
      <c r="D6" s="1668" t="s">
        <v>2068</v>
      </c>
      <c r="E6" s="1668"/>
      <c r="F6" s="1668"/>
      <c r="G6" s="1668"/>
      <c r="H6" s="1668"/>
      <c r="I6" s="1668"/>
      <c r="J6" s="1668"/>
      <c r="K6" s="1668"/>
      <c r="L6" s="1668"/>
      <c r="M6" s="1668"/>
      <c r="N6" s="1668"/>
      <c r="O6" s="1668"/>
      <c r="P6" s="1668"/>
      <c r="Q6" s="1668"/>
      <c r="R6" s="1668"/>
      <c r="S6" s="1668"/>
      <c r="T6" s="1668"/>
      <c r="U6" s="157"/>
      <c r="V6" s="2123" t="s">
        <v>1796</v>
      </c>
      <c r="AA6" s="87"/>
    </row>
    <row r="7" spans="1:28" ht="6" customHeight="1" thickBot="1">
      <c r="V7" s="2124"/>
      <c r="AA7" s="87"/>
    </row>
    <row r="8" spans="1:28" ht="65.099999999999994" customHeight="1" thickBot="1">
      <c r="C8" s="158"/>
      <c r="D8" s="1752" t="s">
        <v>2659</v>
      </c>
      <c r="E8" s="1752"/>
      <c r="F8" s="1752"/>
      <c r="G8" s="1752"/>
      <c r="H8" s="1752"/>
      <c r="I8" s="1752"/>
      <c r="J8" s="1752"/>
      <c r="K8" s="1752"/>
      <c r="L8" s="1752"/>
      <c r="M8" s="1752"/>
      <c r="N8" s="1752"/>
      <c r="O8" s="1752"/>
      <c r="P8" s="1752"/>
      <c r="Q8" s="1752"/>
      <c r="R8" s="1752"/>
      <c r="S8" s="1752"/>
      <c r="T8" s="438"/>
      <c r="U8" s="157"/>
      <c r="V8" s="2128"/>
      <c r="X8" s="425">
        <f>IF(T8=TRUE,10,0)</f>
        <v>0</v>
      </c>
      <c r="AA8" s="87"/>
    </row>
    <row r="9" spans="1:28" ht="12.95" customHeight="1" thickTop="1">
      <c r="T9" s="526"/>
      <c r="U9" s="526"/>
      <c r="V9" s="526"/>
      <c r="AA9" s="87"/>
    </row>
    <row r="10" spans="1:28" ht="15" customHeight="1">
      <c r="C10" s="132">
        <v>13</v>
      </c>
      <c r="D10" s="1668" t="s">
        <v>2067</v>
      </c>
      <c r="E10" s="1668"/>
      <c r="F10" s="1668"/>
      <c r="G10" s="1668"/>
      <c r="H10" s="1668"/>
      <c r="I10" s="1668"/>
      <c r="J10" s="1668"/>
      <c r="K10" s="1668"/>
      <c r="L10" s="1668"/>
      <c r="M10" s="1668"/>
      <c r="N10" s="1668"/>
      <c r="O10" s="1668"/>
      <c r="P10" s="1668"/>
      <c r="Q10" s="1668"/>
      <c r="R10" s="1668"/>
      <c r="S10" s="1668"/>
      <c r="T10" s="1668"/>
      <c r="U10" s="157"/>
      <c r="V10" s="2123" t="s">
        <v>1796</v>
      </c>
      <c r="AA10" s="87"/>
    </row>
    <row r="11" spans="1:28" ht="6" customHeight="1" thickBot="1">
      <c r="V11" s="2124"/>
      <c r="AA11" s="87"/>
    </row>
    <row r="12" spans="1:28" ht="77.25" customHeight="1" thickBot="1">
      <c r="D12" s="1752" t="s">
        <v>2657</v>
      </c>
      <c r="E12" s="1752"/>
      <c r="F12" s="1752"/>
      <c r="G12" s="1752"/>
      <c r="H12" s="1752"/>
      <c r="I12" s="1752"/>
      <c r="J12" s="1752"/>
      <c r="K12" s="1752"/>
      <c r="L12" s="1752"/>
      <c r="M12" s="1752"/>
      <c r="N12" s="1752"/>
      <c r="O12" s="1752"/>
      <c r="P12" s="1752"/>
      <c r="Q12" s="1752"/>
      <c r="R12" s="1752"/>
      <c r="S12" s="1752"/>
      <c r="T12" s="438"/>
      <c r="V12" s="2128"/>
      <c r="X12" s="425">
        <f>IF(T12=TRUE,10,0)</f>
        <v>0</v>
      </c>
      <c r="AA12" s="87"/>
    </row>
    <row r="13" spans="1:28" ht="12.95" customHeight="1" thickTop="1">
      <c r="T13" s="526"/>
      <c r="U13" s="526"/>
      <c r="V13" s="526"/>
      <c r="AA13" s="87"/>
    </row>
    <row r="14" spans="1:28" ht="15" customHeight="1">
      <c r="A14" s="37"/>
      <c r="B14" s="37"/>
      <c r="C14" s="132">
        <v>14</v>
      </c>
      <c r="D14" s="1694" t="s">
        <v>2658</v>
      </c>
      <c r="E14" s="1694"/>
      <c r="F14" s="1694"/>
      <c r="G14" s="1694"/>
      <c r="H14" s="1694"/>
      <c r="I14" s="1694"/>
      <c r="J14" s="1694"/>
      <c r="K14" s="1694"/>
      <c r="L14" s="1694"/>
      <c r="M14" s="1694"/>
      <c r="N14" s="1694"/>
      <c r="O14" s="1694"/>
      <c r="P14" s="1694"/>
      <c r="Q14" s="1694"/>
      <c r="R14" s="1694"/>
      <c r="S14" s="1694"/>
      <c r="T14" s="1694"/>
      <c r="U14" s="157"/>
      <c r="V14" s="2123" t="s">
        <v>1796</v>
      </c>
      <c r="AA14" s="87"/>
    </row>
    <row r="15" spans="1:28" ht="12" customHeight="1" thickBot="1">
      <c r="V15" s="2124"/>
    </row>
    <row r="16" spans="1:28" ht="39" customHeight="1" thickBot="1">
      <c r="C16" s="158"/>
      <c r="D16" s="1656" t="s">
        <v>2814</v>
      </c>
      <c r="E16" s="1656"/>
      <c r="F16" s="1656"/>
      <c r="G16" s="1656"/>
      <c r="H16" s="1656"/>
      <c r="I16" s="1656"/>
      <c r="J16" s="1656"/>
      <c r="K16" s="1656"/>
      <c r="L16" s="1656"/>
      <c r="M16" s="1656"/>
      <c r="N16" s="1656"/>
      <c r="O16" s="1656"/>
      <c r="P16" s="1656"/>
      <c r="Q16" s="1656"/>
      <c r="R16" s="1656"/>
      <c r="S16" s="1656"/>
      <c r="T16" s="438"/>
      <c r="U16" s="157"/>
      <c r="V16" s="2128"/>
      <c r="X16" s="425">
        <f>IF(T16=TRUE,10,0)</f>
        <v>0</v>
      </c>
    </row>
    <row r="17" spans="1:28" ht="12" customHeight="1" thickTop="1">
      <c r="D17" s="24"/>
      <c r="E17" s="24"/>
      <c r="F17" s="24"/>
      <c r="G17" s="24"/>
      <c r="H17" s="24"/>
      <c r="I17" s="24"/>
      <c r="J17" s="24"/>
      <c r="K17" s="24"/>
      <c r="L17" s="24"/>
      <c r="M17" s="24"/>
      <c r="N17" s="8"/>
      <c r="O17" s="8"/>
      <c r="P17" s="8"/>
      <c r="Q17" s="8"/>
      <c r="R17" s="26"/>
      <c r="S17" s="527"/>
      <c r="T17" s="528"/>
      <c r="U17" s="528"/>
      <c r="V17" s="529"/>
    </row>
    <row r="18" spans="1:28" ht="15" customHeight="1">
      <c r="C18" s="132">
        <v>15</v>
      </c>
      <c r="D18" s="1668" t="s">
        <v>2066</v>
      </c>
      <c r="E18" s="1668"/>
      <c r="F18" s="1668"/>
      <c r="G18" s="1668"/>
      <c r="H18" s="1668"/>
      <c r="I18" s="1668"/>
      <c r="J18" s="1668"/>
      <c r="K18" s="1668"/>
      <c r="L18" s="1668"/>
      <c r="M18" s="1668"/>
      <c r="N18" s="1668"/>
      <c r="O18" s="1668"/>
      <c r="P18" s="1668"/>
      <c r="Q18" s="1668"/>
      <c r="R18" s="1668"/>
      <c r="S18" s="1668"/>
      <c r="T18" s="1668"/>
      <c r="U18" s="157"/>
      <c r="V18" s="2123" t="s">
        <v>1796</v>
      </c>
      <c r="AA18" s="87"/>
    </row>
    <row r="19" spans="1:28" ht="12" customHeight="1" thickBot="1">
      <c r="V19" s="2124"/>
    </row>
    <row r="20" spans="1:28" ht="39" customHeight="1" thickBot="1">
      <c r="C20" s="158"/>
      <c r="D20" s="1752" t="s">
        <v>2260</v>
      </c>
      <c r="E20" s="1752"/>
      <c r="F20" s="1752"/>
      <c r="G20" s="1752"/>
      <c r="H20" s="1752"/>
      <c r="I20" s="1752"/>
      <c r="J20" s="1752"/>
      <c r="K20" s="1752"/>
      <c r="L20" s="1752"/>
      <c r="M20" s="1752"/>
      <c r="N20" s="1752"/>
      <c r="O20" s="1752"/>
      <c r="P20" s="1752"/>
      <c r="Q20" s="1752"/>
      <c r="R20" s="1752"/>
      <c r="S20" s="1752"/>
      <c r="T20" s="438"/>
      <c r="U20" s="157"/>
      <c r="V20" s="2128"/>
      <c r="X20" s="425">
        <f>IF(T20=TRUE,10,0)</f>
        <v>0</v>
      </c>
    </row>
    <row r="21" spans="1:28" s="968" customFormat="1" ht="12" customHeight="1" thickTop="1" thickBot="1">
      <c r="Z21" s="6"/>
      <c r="AA21" s="967"/>
      <c r="AB21" s="6"/>
    </row>
    <row r="22" spans="1:28" ht="18" customHeight="1" thickTop="1" thickBot="1">
      <c r="A22" s="2161" t="s">
        <v>182</v>
      </c>
      <c r="B22" s="1604"/>
      <c r="C22" s="1604"/>
      <c r="D22" s="1604"/>
      <c r="E22" s="2163" t="str">
        <f>IF('FORM 1040-1'!Y32="","",('FORM 1040-1'!Y32))</f>
        <v/>
      </c>
      <c r="F22" s="2163"/>
      <c r="G22" s="2163"/>
      <c r="H22" s="2163"/>
      <c r="I22" s="2163"/>
      <c r="J22" s="2163"/>
      <c r="K22" s="2163"/>
      <c r="L22" s="2163"/>
      <c r="M22" s="2163"/>
      <c r="N22" s="2163"/>
      <c r="O22" s="2163"/>
      <c r="P22" s="2163"/>
      <c r="Q22" s="2163"/>
      <c r="R22" s="2163"/>
      <c r="S22" s="2163"/>
      <c r="T22" s="2163"/>
      <c r="U22" s="2163"/>
      <c r="V22" s="530"/>
      <c r="W22" s="24"/>
      <c r="X22" s="24"/>
      <c r="Y22" s="24"/>
    </row>
    <row r="23" spans="1:28" ht="13.5" customHeight="1" thickTop="1">
      <c r="A23" s="531"/>
      <c r="B23" s="8"/>
      <c r="C23" s="8"/>
      <c r="D23" s="8"/>
      <c r="E23" s="1604" t="s">
        <v>869</v>
      </c>
      <c r="F23" s="1604"/>
      <c r="G23" s="1604"/>
      <c r="H23" s="1604"/>
      <c r="I23" s="1604"/>
      <c r="J23" s="1604"/>
      <c r="K23" s="1604"/>
      <c r="L23" s="1604"/>
      <c r="M23" s="1604"/>
      <c r="N23" s="1604"/>
      <c r="O23" s="1604"/>
      <c r="P23" s="1604"/>
      <c r="Q23" s="1604"/>
      <c r="R23" s="1604"/>
      <c r="S23" s="1604"/>
      <c r="T23" s="1604"/>
      <c r="U23" s="1604"/>
      <c r="V23" s="514"/>
      <c r="W23" s="8"/>
      <c r="X23" s="8"/>
      <c r="Y23" s="8"/>
    </row>
    <row r="24" spans="1:28" ht="18" customHeight="1" thickBot="1">
      <c r="A24" s="531"/>
      <c r="B24" s="8"/>
      <c r="C24" s="8"/>
      <c r="D24" s="8"/>
      <c r="E24" s="1605"/>
      <c r="F24" s="1605"/>
      <c r="G24" s="1605"/>
      <c r="H24" s="1605"/>
      <c r="I24" s="1605"/>
      <c r="J24" s="1605"/>
      <c r="K24" s="1605"/>
      <c r="L24" s="1605"/>
      <c r="M24" s="1605"/>
      <c r="N24" s="1605"/>
      <c r="O24" s="1605"/>
      <c r="P24" s="1605"/>
      <c r="Q24" s="1605"/>
      <c r="R24" s="1605"/>
      <c r="S24" s="1605"/>
      <c r="T24" s="1605"/>
      <c r="U24" s="1605"/>
      <c r="V24" s="532"/>
      <c r="W24" s="24"/>
      <c r="X24" s="24"/>
      <c r="Y24" s="24"/>
    </row>
    <row r="25" spans="1:28" ht="13.5" customHeight="1" thickTop="1">
      <c r="A25" s="531"/>
      <c r="B25" s="8"/>
      <c r="C25" s="8"/>
      <c r="D25" s="8"/>
      <c r="E25" s="2162" t="s">
        <v>814</v>
      </c>
      <c r="F25" s="2162"/>
      <c r="G25" s="2162"/>
      <c r="H25" s="2162"/>
      <c r="I25" s="2162"/>
      <c r="J25" s="2162"/>
      <c r="K25" s="2162"/>
      <c r="L25" s="2162"/>
      <c r="M25" s="2162"/>
      <c r="N25" s="2162"/>
      <c r="O25" s="2162"/>
      <c r="P25" s="2162"/>
      <c r="Q25" s="2162"/>
      <c r="R25" s="2162"/>
      <c r="S25" s="2162"/>
      <c r="T25" s="2162"/>
      <c r="U25" s="2162"/>
      <c r="V25" s="532"/>
      <c r="W25" s="24"/>
      <c r="X25" s="24"/>
      <c r="Y25" s="24"/>
    </row>
    <row r="26" spans="1:28" ht="33.950000000000003" customHeight="1" thickBot="1">
      <c r="A26" s="531"/>
      <c r="B26" s="8"/>
      <c r="C26" s="8"/>
      <c r="D26" s="8"/>
      <c r="E26" s="1696"/>
      <c r="F26" s="1696"/>
      <c r="G26" s="1696"/>
      <c r="H26" s="1696"/>
      <c r="I26" s="1696"/>
      <c r="J26" s="1696"/>
      <c r="K26" s="1696"/>
      <c r="L26" s="1696"/>
      <c r="M26" s="1696"/>
      <c r="N26" s="1696"/>
      <c r="O26" s="1696"/>
      <c r="P26" s="1696"/>
      <c r="Q26" s="1696"/>
      <c r="R26" s="1696"/>
      <c r="S26" s="489" t="s">
        <v>296</v>
      </c>
      <c r="T26" s="2164"/>
      <c r="U26" s="2165"/>
      <c r="V26" s="533"/>
      <c r="W26" s="534"/>
      <c r="X26" s="534"/>
      <c r="Y26" s="534"/>
    </row>
    <row r="27" spans="1:28" ht="14.25" thickTop="1" thickBot="1">
      <c r="A27" s="9"/>
      <c r="B27" s="10"/>
      <c r="C27" s="10"/>
      <c r="D27" s="10"/>
      <c r="E27" s="181" t="s">
        <v>297</v>
      </c>
      <c r="F27" s="10"/>
      <c r="G27" s="10"/>
      <c r="H27" s="10"/>
      <c r="I27" s="10"/>
      <c r="J27" s="10"/>
      <c r="K27" s="10"/>
      <c r="L27" s="181"/>
      <c r="M27" s="181"/>
      <c r="N27" s="181"/>
      <c r="O27" s="10"/>
      <c r="P27" s="535"/>
      <c r="Q27" s="10"/>
      <c r="R27" s="10"/>
      <c r="S27" s="10"/>
      <c r="T27" s="10"/>
      <c r="U27" s="10"/>
      <c r="V27" s="11"/>
      <c r="W27" s="8"/>
      <c r="X27" s="8"/>
      <c r="Y27" s="8"/>
    </row>
    <row r="28" spans="1:28" ht="9.9499999999999993" customHeight="1" thickTop="1" thickBot="1">
      <c r="L28" s="24"/>
      <c r="M28" s="24"/>
      <c r="N28" s="24"/>
      <c r="P28" s="85"/>
      <c r="W28" s="8"/>
      <c r="X28" s="8"/>
      <c r="Y28" s="8"/>
    </row>
    <row r="29" spans="1:28" ht="18" customHeight="1" thickTop="1" thickBot="1">
      <c r="A29" s="2161" t="s">
        <v>815</v>
      </c>
      <c r="B29" s="1604"/>
      <c r="C29" s="1604"/>
      <c r="D29" s="1604"/>
      <c r="E29" s="1650"/>
      <c r="F29" s="1650"/>
      <c r="G29" s="1650"/>
      <c r="H29" s="1650"/>
      <c r="I29" s="1650"/>
      <c r="J29" s="1650"/>
      <c r="K29" s="1650"/>
      <c r="L29" s="1650"/>
      <c r="M29" s="1650"/>
      <c r="N29" s="1650"/>
      <c r="O29" s="1650"/>
      <c r="P29" s="1650"/>
      <c r="Q29" s="1650"/>
      <c r="R29" s="1650"/>
      <c r="S29" s="1650"/>
      <c r="T29" s="1650"/>
      <c r="U29" s="1650"/>
      <c r="V29" s="530"/>
      <c r="W29" s="24"/>
      <c r="X29" s="24"/>
      <c r="Y29" s="24"/>
    </row>
    <row r="30" spans="1:28" ht="12.75" customHeight="1" thickTop="1">
      <c r="A30" s="531"/>
      <c r="B30" s="8"/>
      <c r="C30" s="8"/>
      <c r="D30" s="8"/>
      <c r="E30" s="1604" t="s">
        <v>981</v>
      </c>
      <c r="F30" s="1604"/>
      <c r="G30" s="1604"/>
      <c r="H30" s="1604"/>
      <c r="I30" s="1604"/>
      <c r="J30" s="1604"/>
      <c r="K30" s="1604"/>
      <c r="L30" s="1604"/>
      <c r="M30" s="1604"/>
      <c r="N30" s="1604"/>
      <c r="O30" s="1604"/>
      <c r="P30" s="1604"/>
      <c r="Q30" s="1604"/>
      <c r="R30" s="1604"/>
      <c r="S30" s="1604"/>
      <c r="T30" s="1604"/>
      <c r="U30" s="1604"/>
      <c r="V30" s="532"/>
      <c r="W30" s="24"/>
      <c r="X30" s="24"/>
      <c r="Y30" s="24"/>
    </row>
    <row r="31" spans="1:28" ht="18" customHeight="1" thickBot="1">
      <c r="A31" s="531"/>
      <c r="B31" s="8"/>
      <c r="C31" s="8"/>
      <c r="D31" s="8"/>
      <c r="E31" s="1675"/>
      <c r="F31" s="1675"/>
      <c r="G31" s="1675"/>
      <c r="H31" s="1675"/>
      <c r="I31" s="1675"/>
      <c r="J31" s="1675"/>
      <c r="K31" s="1675"/>
      <c r="L31" s="1675"/>
      <c r="M31" s="1675"/>
      <c r="N31" s="1675"/>
      <c r="O31" s="1675"/>
      <c r="P31" s="1675"/>
      <c r="Q31" s="1461"/>
      <c r="R31" s="1675"/>
      <c r="S31" s="1675"/>
      <c r="T31" s="1675"/>
      <c r="U31" s="1675"/>
      <c r="V31" s="532"/>
      <c r="W31" s="24"/>
      <c r="X31" s="24"/>
      <c r="Y31" s="24"/>
    </row>
    <row r="32" spans="1:28" s="1454" customFormat="1" ht="27.95" customHeight="1" thickTop="1">
      <c r="A32" s="531"/>
      <c r="B32" s="1458"/>
      <c r="C32" s="1458"/>
      <c r="D32" s="1458"/>
      <c r="E32" s="2167" t="s">
        <v>2717</v>
      </c>
      <c r="F32" s="2167"/>
      <c r="G32" s="2167"/>
      <c r="H32" s="2167"/>
      <c r="I32" s="2167"/>
      <c r="J32" s="2167"/>
      <c r="K32" s="2167"/>
      <c r="L32" s="2167"/>
      <c r="M32" s="2167"/>
      <c r="N32" s="2167"/>
      <c r="O32" s="2167"/>
      <c r="P32" s="2167"/>
      <c r="Q32" s="1463"/>
      <c r="R32" s="2168" t="s">
        <v>2714</v>
      </c>
      <c r="S32" s="2168"/>
      <c r="T32" s="2168"/>
      <c r="U32" s="2168"/>
      <c r="V32" s="1465"/>
      <c r="W32" s="1460"/>
      <c r="X32" s="1460"/>
      <c r="Y32" s="1460"/>
      <c r="Z32" s="6"/>
      <c r="AA32" s="1457"/>
      <c r="AB32" s="6"/>
    </row>
    <row r="33" spans="1:28" ht="26.1" customHeight="1">
      <c r="A33" s="531"/>
      <c r="B33" s="8"/>
      <c r="C33" s="8"/>
      <c r="D33" s="8"/>
      <c r="E33" s="2166" t="s">
        <v>2716</v>
      </c>
      <c r="F33" s="1681"/>
      <c r="G33" s="1681"/>
      <c r="H33" s="1681"/>
      <c r="I33" s="1681"/>
      <c r="J33" s="1681"/>
      <c r="K33" s="1681"/>
      <c r="L33" s="1681"/>
      <c r="M33" s="1681"/>
      <c r="N33" s="1681"/>
      <c r="O33" s="1681"/>
      <c r="P33" s="1681"/>
      <c r="Q33" s="1681"/>
      <c r="R33" s="1681"/>
      <c r="S33" s="1681"/>
      <c r="T33" s="1681"/>
      <c r="U33" s="1681"/>
      <c r="V33" s="532"/>
      <c r="W33" s="24"/>
      <c r="X33" s="24"/>
      <c r="Y33" s="24"/>
    </row>
    <row r="34" spans="1:28" ht="33.950000000000003" customHeight="1" thickBot="1">
      <c r="A34" s="531"/>
      <c r="B34" s="8"/>
      <c r="C34" s="8"/>
      <c r="D34" s="8"/>
      <c r="E34" s="1696"/>
      <c r="F34" s="1696"/>
      <c r="G34" s="1696"/>
      <c r="H34" s="1696"/>
      <c r="I34" s="1696"/>
      <c r="J34" s="1696"/>
      <c r="K34" s="1696"/>
      <c r="L34" s="1696"/>
      <c r="M34" s="1696"/>
      <c r="N34" s="1696"/>
      <c r="O34" s="1696"/>
      <c r="P34" s="1696"/>
      <c r="Q34" s="1696"/>
      <c r="R34" s="1696"/>
      <c r="S34" s="489" t="s">
        <v>296</v>
      </c>
      <c r="T34" s="2164"/>
      <c r="U34" s="2165"/>
      <c r="V34" s="533"/>
      <c r="W34" s="534"/>
      <c r="X34" s="534"/>
      <c r="Y34" s="534"/>
    </row>
    <row r="35" spans="1:28" ht="14.25" thickTop="1" thickBot="1">
      <c r="A35" s="9"/>
      <c r="B35" s="10"/>
      <c r="C35" s="10"/>
      <c r="D35" s="10"/>
      <c r="E35" s="181" t="s">
        <v>297</v>
      </c>
      <c r="F35" s="10"/>
      <c r="G35" s="10"/>
      <c r="H35" s="10"/>
      <c r="I35" s="10"/>
      <c r="J35" s="10"/>
      <c r="K35" s="10"/>
      <c r="L35" s="181"/>
      <c r="M35" s="181"/>
      <c r="N35" s="181"/>
      <c r="O35" s="10"/>
      <c r="P35" s="535"/>
      <c r="Q35" s="10"/>
      <c r="R35" s="10"/>
      <c r="S35" s="10"/>
      <c r="T35" s="10"/>
      <c r="U35" s="10"/>
      <c r="V35" s="11"/>
      <c r="W35" s="8"/>
      <c r="X35" s="8"/>
      <c r="Y35" s="8"/>
    </row>
    <row r="36" spans="1:28" ht="9.9499999999999993" customHeight="1" thickTop="1" thickBot="1">
      <c r="L36" s="24"/>
      <c r="M36" s="24"/>
      <c r="N36" s="24"/>
      <c r="P36" s="85"/>
      <c r="W36" s="8"/>
      <c r="X36" s="8"/>
      <c r="Y36" s="8"/>
    </row>
    <row r="37" spans="1:28" ht="18" customHeight="1" thickTop="1" thickBot="1">
      <c r="A37" s="2161" t="s">
        <v>816</v>
      </c>
      <c r="B37" s="1604"/>
      <c r="C37" s="1604"/>
      <c r="D37" s="1604"/>
      <c r="E37" s="1650"/>
      <c r="F37" s="1650"/>
      <c r="G37" s="1650"/>
      <c r="H37" s="1650"/>
      <c r="I37" s="1650"/>
      <c r="J37" s="1650"/>
      <c r="K37" s="1650"/>
      <c r="L37" s="1650"/>
      <c r="M37" s="1650"/>
      <c r="N37" s="1650"/>
      <c r="O37" s="1650"/>
      <c r="P37" s="1650"/>
      <c r="Q37" s="1650"/>
      <c r="R37" s="1650"/>
      <c r="S37" s="1650"/>
      <c r="T37" s="1650"/>
      <c r="U37" s="1650"/>
      <c r="V37" s="530"/>
      <c r="W37" s="24"/>
      <c r="X37" s="24"/>
      <c r="Y37" s="24"/>
    </row>
    <row r="38" spans="1:28" ht="12.75" customHeight="1" thickTop="1">
      <c r="A38" s="531"/>
      <c r="B38" s="8"/>
      <c r="C38" s="8"/>
      <c r="D38" s="8"/>
      <c r="E38" s="1604" t="s">
        <v>981</v>
      </c>
      <c r="F38" s="1604"/>
      <c r="G38" s="1604"/>
      <c r="H38" s="1604"/>
      <c r="I38" s="1604"/>
      <c r="J38" s="1604"/>
      <c r="K38" s="1604"/>
      <c r="L38" s="1604"/>
      <c r="M38" s="1604"/>
      <c r="N38" s="1604"/>
      <c r="O38" s="1604"/>
      <c r="P38" s="1604"/>
      <c r="Q38" s="1604"/>
      <c r="R38" s="1604"/>
      <c r="S38" s="1604"/>
      <c r="T38" s="1604"/>
      <c r="U38" s="1604"/>
      <c r="V38" s="532"/>
      <c r="W38" s="24"/>
      <c r="X38" s="24"/>
      <c r="Y38" s="24"/>
    </row>
    <row r="39" spans="1:28" ht="18" customHeight="1" thickBot="1">
      <c r="A39" s="531"/>
      <c r="B39" s="8"/>
      <c r="C39" s="8"/>
      <c r="D39" s="8"/>
      <c r="E39" s="1675"/>
      <c r="F39" s="1675"/>
      <c r="G39" s="1675"/>
      <c r="H39" s="1675"/>
      <c r="I39" s="1675"/>
      <c r="J39" s="1675"/>
      <c r="K39" s="1675"/>
      <c r="L39" s="1675"/>
      <c r="M39" s="1675"/>
      <c r="N39" s="1675"/>
      <c r="O39" s="1675"/>
      <c r="P39" s="1675"/>
      <c r="Q39" s="1461"/>
      <c r="R39" s="1675"/>
      <c r="S39" s="1675"/>
      <c r="T39" s="1675"/>
      <c r="U39" s="1675"/>
      <c r="V39" s="532"/>
      <c r="W39" s="24"/>
      <c r="X39" s="24"/>
      <c r="Y39" s="24"/>
    </row>
    <row r="40" spans="1:28" s="1454" customFormat="1" ht="27.95" customHeight="1" thickTop="1">
      <c r="A40" s="531"/>
      <c r="B40" s="1458"/>
      <c r="C40" s="1458"/>
      <c r="D40" s="1458"/>
      <c r="E40" s="2167" t="s">
        <v>2718</v>
      </c>
      <c r="F40" s="2167"/>
      <c r="G40" s="2167"/>
      <c r="H40" s="2167"/>
      <c r="I40" s="2167"/>
      <c r="J40" s="2167"/>
      <c r="K40" s="2167"/>
      <c r="L40" s="2167"/>
      <c r="M40" s="2167"/>
      <c r="N40" s="2167"/>
      <c r="O40" s="2167"/>
      <c r="P40" s="2167"/>
      <c r="Q40" s="1463"/>
      <c r="R40" s="2168" t="s">
        <v>2714</v>
      </c>
      <c r="S40" s="2168"/>
      <c r="T40" s="2168"/>
      <c r="U40" s="2168"/>
      <c r="V40" s="1465"/>
      <c r="W40" s="1460"/>
      <c r="X40" s="1460"/>
      <c r="Y40" s="1460"/>
      <c r="Z40" s="6"/>
      <c r="AA40" s="1457"/>
      <c r="AB40" s="6"/>
    </row>
    <row r="41" spans="1:28" ht="39" customHeight="1">
      <c r="A41" s="531"/>
      <c r="B41" s="8"/>
      <c r="C41" s="8"/>
      <c r="D41" s="8"/>
      <c r="E41" s="2166" t="s">
        <v>2715</v>
      </c>
      <c r="F41" s="1681"/>
      <c r="G41" s="1681"/>
      <c r="H41" s="1681"/>
      <c r="I41" s="1681"/>
      <c r="J41" s="1681"/>
      <c r="K41" s="1681"/>
      <c r="L41" s="1681"/>
      <c r="M41" s="1681"/>
      <c r="N41" s="1681"/>
      <c r="O41" s="1681"/>
      <c r="P41" s="1681"/>
      <c r="Q41" s="1681"/>
      <c r="R41" s="1681"/>
      <c r="S41" s="1681"/>
      <c r="T41" s="1681"/>
      <c r="U41" s="1681"/>
      <c r="V41" s="532"/>
      <c r="W41" s="24"/>
      <c r="X41" s="24"/>
      <c r="Y41" s="24"/>
    </row>
    <row r="42" spans="1:28" ht="33.950000000000003" customHeight="1" thickBot="1">
      <c r="A42" s="531"/>
      <c r="B42" s="8"/>
      <c r="C42" s="8"/>
      <c r="D42" s="8"/>
      <c r="E42" s="1696"/>
      <c r="F42" s="1696"/>
      <c r="G42" s="1696"/>
      <c r="H42" s="1696"/>
      <c r="I42" s="1696"/>
      <c r="J42" s="1696"/>
      <c r="K42" s="1696"/>
      <c r="L42" s="1696"/>
      <c r="M42" s="1696"/>
      <c r="N42" s="1696"/>
      <c r="O42" s="1696"/>
      <c r="P42" s="1696"/>
      <c r="Q42" s="1696"/>
      <c r="R42" s="1696"/>
      <c r="S42" s="489" t="s">
        <v>296</v>
      </c>
      <c r="T42" s="2165"/>
      <c r="U42" s="2165"/>
      <c r="V42" s="533"/>
      <c r="W42" s="534"/>
      <c r="X42" s="534"/>
      <c r="Y42" s="534"/>
    </row>
    <row r="43" spans="1:28" ht="14.25" thickTop="1" thickBot="1">
      <c r="A43" s="9"/>
      <c r="B43" s="10"/>
      <c r="C43" s="10"/>
      <c r="D43" s="10"/>
      <c r="E43" s="181" t="s">
        <v>297</v>
      </c>
      <c r="F43" s="10"/>
      <c r="G43" s="10"/>
      <c r="H43" s="10"/>
      <c r="I43" s="10"/>
      <c r="J43" s="10"/>
      <c r="K43" s="10"/>
      <c r="L43" s="181"/>
      <c r="M43" s="181"/>
      <c r="N43" s="181"/>
      <c r="O43" s="10"/>
      <c r="P43" s="535"/>
      <c r="Q43" s="10"/>
      <c r="R43" s="10"/>
      <c r="S43" s="10"/>
      <c r="T43" s="10"/>
      <c r="U43" s="10"/>
      <c r="V43" s="11"/>
      <c r="W43" s="8"/>
      <c r="X43" s="8"/>
      <c r="Y43" s="8"/>
    </row>
    <row r="44" spans="1:28" ht="9.9499999999999993" customHeight="1" thickTop="1">
      <c r="L44" s="24"/>
      <c r="M44" s="24"/>
      <c r="N44" s="24"/>
      <c r="P44" s="85"/>
      <c r="W44" s="8"/>
      <c r="X44" s="8"/>
      <c r="Y44" s="8"/>
    </row>
    <row r="45" spans="1:28" ht="15" customHeight="1">
      <c r="W45" s="8"/>
      <c r="X45" s="8"/>
      <c r="Y45" s="8"/>
    </row>
    <row r="46" spans="1:28" ht="15" customHeight="1">
      <c r="W46" s="8"/>
      <c r="X46" s="8"/>
      <c r="Y46" s="8"/>
    </row>
    <row r="47" spans="1:28" ht="15" customHeight="1">
      <c r="W47" s="8"/>
      <c r="X47" s="8"/>
      <c r="Y47" s="8"/>
    </row>
    <row r="48" spans="1:28" ht="15" customHeight="1">
      <c r="W48" s="8"/>
      <c r="X48" s="8"/>
      <c r="Y48" s="8"/>
    </row>
    <row r="49" spans="23:25" ht="15" customHeight="1">
      <c r="W49" s="8"/>
      <c r="X49" s="8"/>
      <c r="Y49" s="8"/>
    </row>
  </sheetData>
  <sheetProtection algorithmName="SHA-512" hashValue="6QFC3JN0emsrWhmAqZaiOUtSM2U3Q6cycWbOSBQCvoRI/bjU9icABvOM0znSh9eAsMRQwR9Npu+VbP25xHgJvg==" saltValue="yVL73lFkYjg48LjAO3RltA==" spinCount="100000" sheet="1" objects="1" scenarios="1"/>
  <mergeCells count="42">
    <mergeCell ref="E40:P40"/>
    <mergeCell ref="R40:U40"/>
    <mergeCell ref="E32:P32"/>
    <mergeCell ref="R32:U32"/>
    <mergeCell ref="E31:P31"/>
    <mergeCell ref="R31:U31"/>
    <mergeCell ref="E39:P39"/>
    <mergeCell ref="R39:U39"/>
    <mergeCell ref="W1:Y4"/>
    <mergeCell ref="D18:T18"/>
    <mergeCell ref="E26:R26"/>
    <mergeCell ref="T26:U26"/>
    <mergeCell ref="T42:U42"/>
    <mergeCell ref="E42:R42"/>
    <mergeCell ref="E41:U41"/>
    <mergeCell ref="E38:U38"/>
    <mergeCell ref="V18:V20"/>
    <mergeCell ref="D20:S20"/>
    <mergeCell ref="A37:D37"/>
    <mergeCell ref="E33:U33"/>
    <mergeCell ref="E37:U37"/>
    <mergeCell ref="E34:R34"/>
    <mergeCell ref="T34:U34"/>
    <mergeCell ref="A29:D29"/>
    <mergeCell ref="A22:D22"/>
    <mergeCell ref="E24:U24"/>
    <mergeCell ref="E25:U25"/>
    <mergeCell ref="E23:U23"/>
    <mergeCell ref="E30:U30"/>
    <mergeCell ref="E22:U22"/>
    <mergeCell ref="E29:U29"/>
    <mergeCell ref="C3:G3"/>
    <mergeCell ref="H3:V3"/>
    <mergeCell ref="D14:T14"/>
    <mergeCell ref="D16:S16"/>
    <mergeCell ref="V14:V16"/>
    <mergeCell ref="V10:V12"/>
    <mergeCell ref="D10:T10"/>
    <mergeCell ref="D8:S8"/>
    <mergeCell ref="V6:V8"/>
    <mergeCell ref="D6:T6"/>
    <mergeCell ref="D12:S12"/>
  </mergeCells>
  <dataValidations count="2">
    <dataValidation type="list" allowBlank="1" showInputMessage="1" showErrorMessage="1" sqref="T12 T8 T16 T20" xr:uid="{00000000-0002-0000-2200-000000000000}">
      <formula1>$AA$3:$AA$4</formula1>
    </dataValidation>
    <dataValidation type="textLength" allowBlank="1" showInputMessage="1" showErrorMessage="1" error="Cannot exceed 50 characters" sqref="E29:U29 E37:U37" xr:uid="{60BD909C-9A93-45AE-BBCD-88A887B95DB8}">
      <formula1>0</formula1>
      <formula2>50</formula2>
    </dataValidation>
  </dataValidations>
  <pageMargins left="0.75" right="0.5" top="0.5" bottom="0.75" header="0" footer="0.5"/>
  <pageSetup scale="82" firstPageNumber="12" orientation="portrait" r:id="rId1"/>
  <headerFooter alignWithMargins="0">
    <oddFooter>&amp;C&amp;A&amp;R&amp;D &amp;T</oddFooter>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2">
    <pageSetUpPr fitToPage="1"/>
  </sheetPr>
  <dimension ref="A1:AP174"/>
  <sheetViews>
    <sheetView workbookViewId="0"/>
  </sheetViews>
  <sheetFormatPr defaultColWidth="10.7109375" defaultRowHeight="15" customHeight="1"/>
  <cols>
    <col min="1" max="1" width="5.7109375" style="4" bestFit="1" customWidth="1"/>
    <col min="2" max="3" width="2.7109375" style="4" customWidth="1"/>
    <col min="4" max="4" width="4.7109375" style="4" customWidth="1"/>
    <col min="5" max="5" width="6.7109375" style="4" customWidth="1"/>
    <col min="6" max="6" width="7.7109375" style="4" customWidth="1"/>
    <col min="7" max="9" width="6.7109375" style="4" customWidth="1"/>
    <col min="10" max="10" width="10.7109375" style="4" customWidth="1"/>
    <col min="11" max="11" width="6.7109375" style="4" customWidth="1"/>
    <col min="12" max="12" width="7.7109375" style="4" customWidth="1"/>
    <col min="13" max="13" width="10.7109375" style="4" customWidth="1"/>
    <col min="14" max="15" width="12.7109375" style="4" customWidth="1"/>
    <col min="16" max="16" width="7.7109375" style="1326" customWidth="1"/>
    <col min="17" max="25" width="10.7109375" style="1326" customWidth="1"/>
    <col min="26" max="26" width="12.28515625" style="1326" customWidth="1"/>
    <col min="27" max="27" width="10.7109375" style="1326" customWidth="1"/>
    <col min="28" max="28" width="7.7109375" style="1326" customWidth="1"/>
    <col min="29" max="29" width="5.7109375" style="6" customWidth="1"/>
    <col min="30" max="31" width="10.7109375" style="4" hidden="1" customWidth="1"/>
    <col min="32" max="32" width="10.7109375" style="930" hidden="1" customWidth="1"/>
    <col min="33" max="33" width="5.7109375" style="6" customWidth="1"/>
    <col min="34" max="38" width="10.7109375" style="4" customWidth="1"/>
    <col min="39" max="16384" width="10.7109375" style="4"/>
  </cols>
  <sheetData>
    <row r="1" spans="1:42" s="814" customFormat="1" ht="15" customHeight="1">
      <c r="A1" s="1302" t="str">
        <f>IF('FORM 1040-1'!D15="","",'FORM 1040-1'!D15)</f>
        <v/>
      </c>
      <c r="B1" s="1303"/>
      <c r="C1" s="1303"/>
      <c r="D1" s="1303"/>
      <c r="E1" s="1303"/>
      <c r="F1" s="1303"/>
      <c r="G1" s="1303"/>
      <c r="H1" s="1303"/>
      <c r="I1" s="1303"/>
      <c r="J1" s="1303"/>
      <c r="K1" s="1303"/>
      <c r="L1" s="1303"/>
      <c r="M1" s="1303"/>
      <c r="N1" s="1303"/>
      <c r="O1" s="1294" t="str">
        <f>IF('FORM 1040-1'!$E$12="","",'FORM 1040-1'!$E$12)</f>
        <v/>
      </c>
      <c r="P1" s="2185" t="s">
        <v>1621</v>
      </c>
      <c r="Q1" s="2185"/>
      <c r="R1" s="2185"/>
      <c r="S1" s="2185"/>
      <c r="T1" s="1326"/>
      <c r="U1" s="1326"/>
      <c r="V1" s="1326"/>
      <c r="W1" s="1326"/>
      <c r="X1" s="1326"/>
      <c r="Y1" s="1326"/>
      <c r="Z1" s="1326"/>
      <c r="AA1" s="1326"/>
      <c r="AB1" s="1326"/>
      <c r="AC1" s="6"/>
      <c r="AF1" s="930"/>
      <c r="AG1" s="6"/>
    </row>
    <row r="2" spans="1:42" s="814" customFormat="1" ht="12.75" customHeight="1">
      <c r="P2" s="2185"/>
      <c r="Q2" s="2185"/>
      <c r="R2" s="2185"/>
      <c r="S2" s="2185"/>
      <c r="T2" s="1326"/>
      <c r="U2" s="1326"/>
      <c r="V2" s="1326"/>
      <c r="W2" s="1326"/>
      <c r="X2" s="1326"/>
      <c r="Y2" s="1326"/>
      <c r="Z2" s="1326"/>
      <c r="AA2" s="1326"/>
      <c r="AB2" s="1326"/>
      <c r="AC2" s="6"/>
      <c r="AF2" s="930"/>
      <c r="AG2" s="6"/>
    </row>
    <row r="3" spans="1:42" ht="15" customHeight="1">
      <c r="A3" s="12" t="s">
        <v>286</v>
      </c>
      <c r="B3" s="1694" t="s">
        <v>2047</v>
      </c>
      <c r="C3" s="1694"/>
      <c r="D3" s="1694"/>
      <c r="E3" s="1694"/>
      <c r="F3" s="1694"/>
      <c r="G3" s="1694"/>
      <c r="H3" s="1694"/>
      <c r="I3" s="1694"/>
      <c r="J3" s="1694"/>
      <c r="K3" s="1694"/>
      <c r="L3" s="1694"/>
      <c r="M3" s="1694"/>
      <c r="N3" s="1694"/>
      <c r="O3" s="1694"/>
      <c r="P3" s="2185"/>
      <c r="Q3" s="2185"/>
      <c r="R3" s="2185"/>
      <c r="S3" s="2185"/>
      <c r="T3" s="1325"/>
      <c r="U3" s="1325"/>
      <c r="V3" s="1325"/>
      <c r="W3" s="1325"/>
      <c r="X3" s="1325"/>
      <c r="Y3" s="1325"/>
      <c r="Z3" s="1325"/>
      <c r="AA3" s="1325"/>
      <c r="AB3" s="1325"/>
      <c r="AC3" s="318"/>
      <c r="AD3" s="37"/>
      <c r="AE3" s="22" t="b">
        <v>1</v>
      </c>
      <c r="AF3" s="293" t="b">
        <v>1</v>
      </c>
      <c r="AG3" s="318"/>
      <c r="AH3" s="37"/>
      <c r="AI3" s="37"/>
    </row>
    <row r="4" spans="1:42" ht="12" customHeight="1">
      <c r="A4" s="12"/>
      <c r="B4" s="37"/>
      <c r="C4" s="37"/>
      <c r="D4" s="37"/>
      <c r="E4" s="37"/>
      <c r="F4" s="37"/>
      <c r="G4" s="37"/>
      <c r="H4" s="37"/>
      <c r="I4" s="37"/>
      <c r="J4" s="37"/>
      <c r="K4" s="37"/>
      <c r="L4" s="37"/>
      <c r="M4" s="37"/>
      <c r="N4" s="37"/>
      <c r="O4" s="37"/>
      <c r="P4" s="2185"/>
      <c r="Q4" s="2185"/>
      <c r="R4" s="2185"/>
      <c r="S4" s="2185"/>
      <c r="T4" s="1325"/>
      <c r="U4" s="1325"/>
      <c r="V4" s="1325"/>
      <c r="W4" s="1325"/>
      <c r="X4" s="1325"/>
      <c r="Y4" s="1325"/>
      <c r="Z4" s="1325"/>
      <c r="AA4" s="1325"/>
      <c r="AB4" s="1325"/>
      <c r="AC4" s="318"/>
      <c r="AD4" s="37"/>
      <c r="AE4" s="22" t="b">
        <v>0</v>
      </c>
      <c r="AF4" s="293" t="b">
        <v>0</v>
      </c>
      <c r="AG4" s="318"/>
      <c r="AH4" s="37"/>
      <c r="AI4" s="37"/>
    </row>
    <row r="5" spans="1:42" ht="15" customHeight="1">
      <c r="A5" s="202"/>
      <c r="B5" s="132" t="s">
        <v>53</v>
      </c>
      <c r="C5" s="1694" t="s">
        <v>2048</v>
      </c>
      <c r="D5" s="1694"/>
      <c r="E5" s="1694"/>
      <c r="F5" s="1694"/>
      <c r="G5" s="1694"/>
      <c r="H5" s="1694"/>
      <c r="I5" s="1694"/>
      <c r="J5" s="1694"/>
      <c r="K5" s="1694"/>
      <c r="L5" s="1694"/>
      <c r="M5" s="1694"/>
      <c r="N5" s="1694"/>
      <c r="O5" s="1694"/>
      <c r="P5" s="1325"/>
      <c r="Q5" s="2172" t="s">
        <v>2689</v>
      </c>
      <c r="R5" s="2173"/>
      <c r="S5" s="2173"/>
      <c r="T5" s="2173"/>
      <c r="U5" s="2173"/>
      <c r="V5" s="2173"/>
      <c r="W5" s="2173"/>
      <c r="X5" s="2173"/>
      <c r="Y5" s="2173"/>
      <c r="Z5" s="2173"/>
      <c r="AA5" s="2174"/>
      <c r="AB5" s="1325"/>
      <c r="AC5" s="318"/>
      <c r="AD5" s="37"/>
      <c r="AE5" s="37"/>
      <c r="AF5" s="293" t="s">
        <v>312</v>
      </c>
      <c r="AG5" s="318"/>
      <c r="AH5" s="37"/>
      <c r="AI5" s="37"/>
    </row>
    <row r="6" spans="1:42" ht="5.0999999999999996" customHeight="1">
      <c r="Q6" s="2175"/>
      <c r="R6" s="2176"/>
      <c r="S6" s="2176"/>
      <c r="T6" s="2176"/>
      <c r="U6" s="2176"/>
      <c r="V6" s="2176"/>
      <c r="W6" s="2176"/>
      <c r="X6" s="2176"/>
      <c r="Y6" s="2176"/>
      <c r="Z6" s="2176"/>
      <c r="AA6" s="2177"/>
      <c r="AC6" s="318"/>
    </row>
    <row r="7" spans="1:42" s="814" customFormat="1" ht="15" customHeight="1" thickBot="1">
      <c r="C7" s="423">
        <v>1</v>
      </c>
      <c r="D7" s="1694" t="s">
        <v>2194</v>
      </c>
      <c r="E7" s="1694"/>
      <c r="F7" s="1694"/>
      <c r="G7" s="1694"/>
      <c r="H7" s="1694"/>
      <c r="I7" s="1694"/>
      <c r="J7" s="1694"/>
      <c r="K7" s="1694"/>
      <c r="L7" s="1694"/>
      <c r="M7" s="1607"/>
      <c r="N7" s="1607"/>
      <c r="O7" s="1607"/>
      <c r="Q7" s="2175"/>
      <c r="R7" s="2176"/>
      <c r="S7" s="2176"/>
      <c r="T7" s="2176"/>
      <c r="U7" s="2176"/>
      <c r="V7" s="2176"/>
      <c r="W7" s="2176"/>
      <c r="X7" s="2176"/>
      <c r="Y7" s="2176"/>
      <c r="Z7" s="2176"/>
      <c r="AA7" s="2177"/>
      <c r="AB7" s="1325"/>
      <c r="AC7" s="318"/>
      <c r="AD7" s="851" t="str">
        <f>IF(M7="","",(M7))</f>
        <v/>
      </c>
      <c r="AE7" s="814" t="s">
        <v>967</v>
      </c>
      <c r="AF7" s="87"/>
      <c r="AG7" s="6"/>
      <c r="AH7" s="87"/>
      <c r="AI7" s="87"/>
      <c r="AN7" s="39"/>
      <c r="AO7" s="39"/>
      <c r="AP7" s="39"/>
    </row>
    <row r="8" spans="1:42" s="814" customFormat="1" ht="6" customHeight="1" thickTop="1" thickBot="1">
      <c r="Q8" s="2175"/>
      <c r="R8" s="2176"/>
      <c r="S8" s="2176"/>
      <c r="T8" s="2176"/>
      <c r="U8" s="2176"/>
      <c r="V8" s="2176"/>
      <c r="W8" s="2176"/>
      <c r="X8" s="2176"/>
      <c r="Y8" s="2176"/>
      <c r="Z8" s="2176"/>
      <c r="AA8" s="2177"/>
      <c r="AB8" s="1326"/>
      <c r="AC8" s="318"/>
      <c r="AF8" s="87"/>
      <c r="AG8" s="6"/>
      <c r="AH8" s="87"/>
      <c r="AI8" s="87"/>
      <c r="AN8" s="39"/>
      <c r="AO8" s="39"/>
      <c r="AP8" s="39"/>
    </row>
    <row r="9" spans="1:42" s="814" customFormat="1" ht="15" customHeight="1" thickTop="1" thickBot="1">
      <c r="C9" s="423">
        <v>2</v>
      </c>
      <c r="D9" s="1694" t="s">
        <v>968</v>
      </c>
      <c r="E9" s="1694"/>
      <c r="F9" s="1694"/>
      <c r="G9" s="1694"/>
      <c r="H9" s="1694"/>
      <c r="I9" s="1694"/>
      <c r="J9" s="1694"/>
      <c r="K9" s="1694"/>
      <c r="L9" s="1694"/>
      <c r="M9" s="1694"/>
      <c r="N9" s="2104"/>
      <c r="O9" s="237"/>
      <c r="Q9" s="1468" t="s">
        <v>2690</v>
      </c>
      <c r="R9" s="2171" t="s">
        <v>2691</v>
      </c>
      <c r="S9" s="2171"/>
      <c r="T9" s="2171"/>
      <c r="U9" s="2171"/>
      <c r="V9" s="2171"/>
      <c r="W9" s="2171"/>
      <c r="X9" s="2171"/>
      <c r="Y9" s="2171"/>
      <c r="Z9" s="2171"/>
      <c r="AA9" s="2178"/>
      <c r="AB9" s="1326"/>
      <c r="AC9" s="318"/>
      <c r="AD9" s="435" t="str">
        <f>IF(O9="","",(O9))</f>
        <v/>
      </c>
      <c r="AE9" s="814" t="s">
        <v>964</v>
      </c>
      <c r="AF9" s="87"/>
      <c r="AG9" s="6"/>
      <c r="AH9" s="87"/>
      <c r="AI9" s="87"/>
      <c r="AN9" s="39"/>
      <c r="AO9" s="39"/>
      <c r="AP9" s="39"/>
    </row>
    <row r="10" spans="1:42" s="814" customFormat="1" ht="6" customHeight="1" thickTop="1">
      <c r="Q10" s="1342"/>
      <c r="R10" s="1343"/>
      <c r="S10" s="1466"/>
      <c r="T10" s="1466"/>
      <c r="U10" s="1466"/>
      <c r="V10" s="1466"/>
      <c r="W10" s="1466"/>
      <c r="X10" s="1466"/>
      <c r="Y10" s="1344"/>
      <c r="Z10" s="1344"/>
      <c r="AA10" s="1345"/>
      <c r="AB10" s="1326"/>
      <c r="AC10" s="318"/>
      <c r="AF10" s="87"/>
      <c r="AG10" s="6"/>
      <c r="AH10" s="87"/>
      <c r="AI10" s="87"/>
      <c r="AN10" s="39"/>
      <c r="AO10" s="39"/>
      <c r="AP10" s="39"/>
    </row>
    <row r="11" spans="1:42" s="814" customFormat="1" ht="15" customHeight="1" thickBot="1">
      <c r="C11" s="423">
        <v>3</v>
      </c>
      <c r="D11" s="1694" t="s">
        <v>868</v>
      </c>
      <c r="E11" s="1694"/>
      <c r="F11" s="1694"/>
      <c r="G11" s="1694"/>
      <c r="H11" s="1694"/>
      <c r="I11" s="1694"/>
      <c r="J11" s="1694"/>
      <c r="K11" s="1694"/>
      <c r="L11" s="1694"/>
      <c r="M11" s="1694"/>
      <c r="N11" s="1694"/>
      <c r="O11" s="798"/>
      <c r="Q11" s="1341"/>
      <c r="R11" s="2179" t="s">
        <v>2693</v>
      </c>
      <c r="S11" s="2179"/>
      <c r="T11" s="2179"/>
      <c r="U11" s="2179"/>
      <c r="V11" s="2179"/>
      <c r="W11" s="2179"/>
      <c r="X11" s="2179"/>
      <c r="Y11" s="2179"/>
      <c r="Z11" s="2179"/>
      <c r="AA11" s="2180"/>
      <c r="AB11" s="1324"/>
      <c r="AC11" s="318"/>
      <c r="AD11" s="20" t="str">
        <f>IF(O11="","",(O11))</f>
        <v/>
      </c>
      <c r="AE11" s="814" t="s">
        <v>965</v>
      </c>
      <c r="AF11" s="87"/>
      <c r="AG11" s="6"/>
      <c r="AH11" s="87"/>
      <c r="AI11" s="87"/>
      <c r="AN11" s="39"/>
      <c r="AO11" s="39"/>
      <c r="AP11" s="39"/>
    </row>
    <row r="12" spans="1:42" s="814" customFormat="1" ht="26.1" customHeight="1" thickTop="1">
      <c r="D12" s="2187" t="s">
        <v>2263</v>
      </c>
      <c r="E12" s="2187"/>
      <c r="F12" s="2187"/>
      <c r="G12" s="2187"/>
      <c r="H12" s="2187"/>
      <c r="I12" s="2187"/>
      <c r="J12" s="2187"/>
      <c r="K12" s="2187"/>
      <c r="L12" s="2187"/>
      <c r="M12" s="2187"/>
      <c r="N12" s="2187"/>
      <c r="O12" s="2187"/>
      <c r="Q12" s="1346"/>
      <c r="R12" s="2179" t="s">
        <v>2692</v>
      </c>
      <c r="S12" s="2179"/>
      <c r="T12" s="2179"/>
      <c r="U12" s="2179"/>
      <c r="V12" s="2179"/>
      <c r="W12" s="2179"/>
      <c r="X12" s="2179"/>
      <c r="Y12" s="2179"/>
      <c r="Z12" s="2179"/>
      <c r="AA12" s="2180"/>
      <c r="AB12" s="1325"/>
      <c r="AC12" s="318"/>
      <c r="AF12" s="87"/>
      <c r="AG12" s="6"/>
      <c r="AH12" s="87"/>
      <c r="AI12" s="87"/>
      <c r="AN12" s="39"/>
      <c r="AO12" s="39"/>
      <c r="AP12" s="39"/>
    </row>
    <row r="13" spans="1:42" s="814" customFormat="1" ht="6" customHeight="1">
      <c r="D13" s="85"/>
      <c r="E13" s="802"/>
      <c r="F13" s="802"/>
      <c r="G13" s="802"/>
      <c r="H13" s="802"/>
      <c r="I13" s="802"/>
      <c r="J13" s="802"/>
      <c r="K13" s="802"/>
      <c r="L13" s="802"/>
      <c r="M13" s="802"/>
      <c r="N13" s="802"/>
      <c r="O13" s="802"/>
      <c r="Q13" s="1342"/>
      <c r="R13" s="1251"/>
      <c r="S13" s="1336"/>
      <c r="T13" s="1337"/>
      <c r="U13" s="1337"/>
      <c r="V13" s="1337"/>
      <c r="W13" s="1337"/>
      <c r="X13" s="1337"/>
      <c r="Y13" s="1347"/>
      <c r="Z13" s="1347"/>
      <c r="AA13" s="1345"/>
      <c r="AB13" s="1326"/>
      <c r="AC13" s="318"/>
      <c r="AF13" s="87"/>
      <c r="AG13" s="6"/>
      <c r="AH13" s="87"/>
      <c r="AI13" s="87"/>
      <c r="AN13" s="39"/>
      <c r="AO13" s="39"/>
      <c r="AP13" s="39"/>
    </row>
    <row r="14" spans="1:42" s="814" customFormat="1" ht="15" customHeight="1" thickBot="1">
      <c r="C14" s="423">
        <v>4</v>
      </c>
      <c r="D14" s="1694" t="s">
        <v>2023</v>
      </c>
      <c r="E14" s="1694"/>
      <c r="F14" s="1694"/>
      <c r="G14" s="1694"/>
      <c r="H14" s="1694"/>
      <c r="I14" s="1694"/>
      <c r="J14" s="798"/>
      <c r="K14" s="2005" t="s">
        <v>908</v>
      </c>
      <c r="L14" s="2005"/>
      <c r="M14" s="908"/>
      <c r="N14" s="827"/>
      <c r="O14" s="827"/>
      <c r="Q14" s="1468" t="s">
        <v>2695</v>
      </c>
      <c r="R14" s="2171" t="s">
        <v>2694</v>
      </c>
      <c r="S14" s="2171"/>
      <c r="T14" s="2171"/>
      <c r="U14" s="2171"/>
      <c r="V14" s="2171"/>
      <c r="W14" s="2171"/>
      <c r="X14" s="2171"/>
      <c r="Y14" s="2171"/>
      <c r="Z14" s="2171"/>
      <c r="AA14" s="2178"/>
      <c r="AB14" s="1338"/>
      <c r="AC14" s="318"/>
      <c r="AD14" s="20" t="str">
        <f>IF(J14="","",(J14))</f>
        <v/>
      </c>
      <c r="AE14" s="814" t="s">
        <v>966</v>
      </c>
      <c r="AF14" s="928"/>
      <c r="AG14" s="6"/>
      <c r="AH14" s="87"/>
      <c r="AI14" s="87"/>
      <c r="AN14" s="39"/>
      <c r="AO14" s="39"/>
      <c r="AP14" s="39"/>
    </row>
    <row r="15" spans="1:42" s="814" customFormat="1" ht="6" customHeight="1" thickTop="1">
      <c r="D15" s="85"/>
      <c r="E15" s="802"/>
      <c r="F15" s="802"/>
      <c r="G15" s="802"/>
      <c r="H15" s="802"/>
      <c r="I15" s="802"/>
      <c r="J15" s="802"/>
      <c r="K15" s="802"/>
      <c r="L15" s="802"/>
      <c r="M15" s="802"/>
      <c r="N15" s="802"/>
      <c r="O15" s="802"/>
      <c r="Q15" s="1342"/>
      <c r="R15" s="1343"/>
      <c r="S15" s="1466"/>
      <c r="T15" s="1466"/>
      <c r="U15" s="1466"/>
      <c r="V15" s="1466"/>
      <c r="W15" s="1466"/>
      <c r="X15" s="1466"/>
      <c r="Y15" s="1466"/>
      <c r="Z15" s="1466"/>
      <c r="AA15" s="1340"/>
      <c r="AB15" s="1326"/>
      <c r="AC15" s="318"/>
      <c r="AE15" s="801"/>
      <c r="AF15" s="87"/>
      <c r="AG15" s="6"/>
      <c r="AH15" s="87"/>
      <c r="AI15" s="87"/>
      <c r="AN15" s="39"/>
      <c r="AO15" s="39"/>
      <c r="AP15" s="39"/>
    </row>
    <row r="16" spans="1:42" s="814" customFormat="1" ht="26.1" customHeight="1" thickBot="1">
      <c r="C16" s="426">
        <v>5</v>
      </c>
      <c r="D16" s="1787" t="s">
        <v>2024</v>
      </c>
      <c r="E16" s="1787"/>
      <c r="F16" s="1787"/>
      <c r="G16" s="1787"/>
      <c r="H16" s="1787"/>
      <c r="I16" s="1787"/>
      <c r="J16" s="1787"/>
      <c r="K16" s="1787"/>
      <c r="L16" s="1787"/>
      <c r="M16" s="1787"/>
      <c r="N16" s="1787"/>
      <c r="O16" s="803" t="str">
        <f>IF('FORM 1040-3'!K30="","",('FORM 1040-3'!K30))</f>
        <v/>
      </c>
      <c r="Q16" s="1469" t="s">
        <v>2697</v>
      </c>
      <c r="R16" s="2183" t="s">
        <v>2696</v>
      </c>
      <c r="S16" s="2183"/>
      <c r="T16" s="2183"/>
      <c r="U16" s="2183"/>
      <c r="V16" s="2183"/>
      <c r="W16" s="2183"/>
      <c r="X16" s="2183"/>
      <c r="Y16" s="2183"/>
      <c r="Z16" s="2183"/>
      <c r="AA16" s="2184"/>
      <c r="AB16" s="1326"/>
      <c r="AC16" s="318"/>
      <c r="AE16" s="801"/>
      <c r="AF16" s="87"/>
      <c r="AG16" s="6"/>
      <c r="AH16" s="87"/>
      <c r="AI16" s="87"/>
      <c r="AN16" s="39"/>
      <c r="AO16" s="39"/>
      <c r="AP16" s="39"/>
    </row>
    <row r="17" spans="1:42" s="814" customFormat="1" ht="6" customHeight="1" thickTop="1">
      <c r="Q17" s="1348"/>
      <c r="R17" s="1339"/>
      <c r="S17" s="1466"/>
      <c r="T17" s="1466"/>
      <c r="U17" s="1466"/>
      <c r="V17" s="1466"/>
      <c r="W17" s="1466"/>
      <c r="X17" s="1466"/>
      <c r="Y17" s="1466"/>
      <c r="Z17" s="1466"/>
      <c r="AA17" s="1340"/>
      <c r="AB17" s="1326"/>
      <c r="AC17" s="318"/>
      <c r="AE17" s="801"/>
      <c r="AF17" s="87"/>
      <c r="AG17" s="6"/>
      <c r="AH17" s="87"/>
      <c r="AI17" s="87"/>
      <c r="AN17" s="39"/>
      <c r="AO17" s="39"/>
      <c r="AP17" s="39"/>
    </row>
    <row r="18" spans="1:42" s="926" customFormat="1" ht="26.1" customHeight="1" thickBot="1">
      <c r="C18" s="426">
        <v>6</v>
      </c>
      <c r="D18" s="1679" t="s">
        <v>2660</v>
      </c>
      <c r="E18" s="1679"/>
      <c r="F18" s="1679"/>
      <c r="G18" s="1679"/>
      <c r="H18" s="1679"/>
      <c r="I18" s="1679"/>
      <c r="J18" s="1679"/>
      <c r="K18" s="1679"/>
      <c r="L18" s="1679"/>
      <c r="M18" s="1679"/>
      <c r="N18" s="1679"/>
      <c r="O18" s="929"/>
      <c r="Q18" s="1348"/>
      <c r="R18" s="2179" t="s">
        <v>2698</v>
      </c>
      <c r="S18" s="2179"/>
      <c r="T18" s="2179"/>
      <c r="U18" s="2179"/>
      <c r="V18" s="2179"/>
      <c r="W18" s="2179"/>
      <c r="X18" s="2179"/>
      <c r="Y18" s="2179"/>
      <c r="Z18" s="2179"/>
      <c r="AA18" s="2180"/>
      <c r="AB18" s="1326"/>
      <c r="AC18" s="318"/>
      <c r="AE18" s="930"/>
      <c r="AF18" s="293" t="s">
        <v>312</v>
      </c>
      <c r="AG18" s="6"/>
      <c r="AH18" s="87"/>
      <c r="AI18" s="87"/>
      <c r="AN18" s="39"/>
      <c r="AO18" s="39"/>
      <c r="AP18" s="39"/>
    </row>
    <row r="19" spans="1:42" s="939" customFormat="1" ht="6" customHeight="1" thickTop="1">
      <c r="C19" s="426"/>
      <c r="D19" s="946"/>
      <c r="E19" s="946"/>
      <c r="F19" s="946"/>
      <c r="G19" s="946"/>
      <c r="H19" s="946"/>
      <c r="I19" s="946"/>
      <c r="J19" s="946"/>
      <c r="K19" s="946"/>
      <c r="L19" s="946"/>
      <c r="M19" s="946"/>
      <c r="N19" s="946"/>
      <c r="O19" s="948"/>
      <c r="Q19" s="1348"/>
      <c r="R19" s="1339"/>
      <c r="S19" s="1466"/>
      <c r="T19" s="1466"/>
      <c r="U19" s="1466"/>
      <c r="V19" s="1466"/>
      <c r="W19" s="1466"/>
      <c r="X19" s="1466"/>
      <c r="Y19" s="1466"/>
      <c r="Z19" s="1466"/>
      <c r="AA19" s="1340"/>
      <c r="AB19" s="1326"/>
      <c r="AC19" s="318"/>
      <c r="AE19" s="943"/>
      <c r="AF19" s="293">
        <v>2017</v>
      </c>
      <c r="AG19" s="6"/>
      <c r="AH19" s="87"/>
      <c r="AI19" s="87"/>
      <c r="AN19" s="39"/>
      <c r="AO19" s="39"/>
      <c r="AP19" s="39"/>
    </row>
    <row r="20" spans="1:42" s="939" customFormat="1" ht="39.950000000000003" customHeight="1">
      <c r="C20" s="426"/>
      <c r="D20" s="2186" t="s">
        <v>2878</v>
      </c>
      <c r="E20" s="2186"/>
      <c r="F20" s="2186"/>
      <c r="G20" s="2186"/>
      <c r="H20" s="2186"/>
      <c r="I20" s="2186"/>
      <c r="J20" s="2186"/>
      <c r="K20" s="2186"/>
      <c r="L20" s="2186"/>
      <c r="M20" s="2186"/>
      <c r="N20" s="2186"/>
      <c r="O20" s="2186"/>
      <c r="Q20" s="1469" t="s">
        <v>2700</v>
      </c>
      <c r="R20" s="2181" t="s">
        <v>2699</v>
      </c>
      <c r="S20" s="2181"/>
      <c r="T20" s="2181"/>
      <c r="U20" s="2181"/>
      <c r="V20" s="2181"/>
      <c r="W20" s="2181"/>
      <c r="X20" s="2181"/>
      <c r="Y20" s="2181"/>
      <c r="Z20" s="2181"/>
      <c r="AA20" s="2182"/>
      <c r="AB20" s="1326"/>
      <c r="AC20" s="318"/>
      <c r="AE20" s="943"/>
      <c r="AF20" s="293">
        <v>2016</v>
      </c>
      <c r="AG20" s="6"/>
      <c r="AH20" s="87"/>
      <c r="AI20" s="87"/>
      <c r="AN20" s="39"/>
      <c r="AO20" s="39"/>
      <c r="AP20" s="39"/>
    </row>
    <row r="21" spans="1:42" s="926" customFormat="1" ht="6" customHeight="1" thickBot="1">
      <c r="Q21" s="1348"/>
      <c r="R21" s="1339"/>
      <c r="S21" s="1466"/>
      <c r="T21" s="1466"/>
      <c r="U21" s="1466"/>
      <c r="V21" s="1466"/>
      <c r="W21" s="1466"/>
      <c r="X21" s="1466"/>
      <c r="Y21" s="1466"/>
      <c r="Z21" s="1466"/>
      <c r="AA21" s="1350"/>
      <c r="AB21" s="1326"/>
      <c r="AC21" s="318"/>
      <c r="AE21" s="930"/>
      <c r="AF21" s="293">
        <v>2015</v>
      </c>
      <c r="AG21" s="6"/>
      <c r="AH21" s="87"/>
      <c r="AI21" s="87"/>
      <c r="AN21" s="39"/>
      <c r="AO21" s="39"/>
      <c r="AP21" s="39"/>
    </row>
    <row r="22" spans="1:42" s="704" customFormat="1" ht="15" customHeight="1" thickTop="1" thickBot="1">
      <c r="A22" s="863"/>
      <c r="B22" s="132"/>
      <c r="C22" s="423">
        <v>7</v>
      </c>
      <c r="D22" s="1694" t="s">
        <v>2046</v>
      </c>
      <c r="E22" s="1694"/>
      <c r="F22" s="1694"/>
      <c r="G22" s="1694"/>
      <c r="H22" s="1694"/>
      <c r="I22" s="1694"/>
      <c r="J22" s="1694"/>
      <c r="K22" s="1694"/>
      <c r="L22" s="1694"/>
      <c r="M22" s="1694"/>
      <c r="N22" s="2104"/>
      <c r="O22" s="73"/>
      <c r="Q22" s="1348"/>
      <c r="R22" s="2179" t="s">
        <v>2701</v>
      </c>
      <c r="S22" s="2179"/>
      <c r="T22" s="2179"/>
      <c r="U22" s="2179"/>
      <c r="V22" s="2179"/>
      <c r="W22" s="2179"/>
      <c r="X22" s="2179"/>
      <c r="Y22" s="2179"/>
      <c r="Z22" s="2179"/>
      <c r="AA22" s="2180"/>
      <c r="AB22" s="1325"/>
      <c r="AC22" s="318"/>
      <c r="AF22" s="293">
        <v>2014</v>
      </c>
      <c r="AG22" s="6"/>
    </row>
    <row r="23" spans="1:42" s="939" customFormat="1" ht="6" customHeight="1" thickTop="1">
      <c r="A23" s="944"/>
      <c r="B23" s="132"/>
      <c r="C23" s="423"/>
      <c r="D23" s="942"/>
      <c r="E23" s="942"/>
      <c r="F23" s="942"/>
      <c r="G23" s="942"/>
      <c r="H23" s="942"/>
      <c r="I23" s="942"/>
      <c r="J23" s="942"/>
      <c r="K23" s="942"/>
      <c r="L23" s="942"/>
      <c r="M23" s="942"/>
      <c r="N23" s="945"/>
      <c r="O23" s="944"/>
      <c r="Q23" s="1348"/>
      <c r="R23" s="1339"/>
      <c r="S23" s="1466"/>
      <c r="T23" s="1466"/>
      <c r="U23" s="1466"/>
      <c r="V23" s="1466"/>
      <c r="W23" s="1466"/>
      <c r="X23" s="1466"/>
      <c r="Y23" s="1466"/>
      <c r="Z23" s="1466"/>
      <c r="AA23" s="1462"/>
      <c r="AB23" s="1325"/>
      <c r="AC23" s="318"/>
      <c r="AF23" s="293">
        <v>2013</v>
      </c>
      <c r="AG23" s="6"/>
    </row>
    <row r="24" spans="1:42" s="939" customFormat="1" ht="15" customHeight="1" thickBot="1">
      <c r="A24" s="944"/>
      <c r="B24" s="132"/>
      <c r="C24" s="423">
        <v>8</v>
      </c>
      <c r="D24" s="1694" t="s">
        <v>2049</v>
      </c>
      <c r="E24" s="1694"/>
      <c r="F24" s="1694"/>
      <c r="G24" s="1694"/>
      <c r="H24" s="1694"/>
      <c r="I24" s="1694"/>
      <c r="J24" s="1694"/>
      <c r="K24" s="1694"/>
      <c r="L24" s="1694"/>
      <c r="M24" s="1694"/>
      <c r="N24" s="1694"/>
      <c r="O24" s="941"/>
      <c r="Q24" s="1469" t="s">
        <v>2703</v>
      </c>
      <c r="R24" s="2181" t="s">
        <v>2702</v>
      </c>
      <c r="S24" s="2181"/>
      <c r="T24" s="2181"/>
      <c r="U24" s="2181"/>
      <c r="V24" s="2181"/>
      <c r="W24" s="2181"/>
      <c r="X24" s="2181"/>
      <c r="Y24" s="2181"/>
      <c r="Z24" s="2181"/>
      <c r="AA24" s="2182"/>
      <c r="AB24" s="1325"/>
      <c r="AC24" s="318"/>
      <c r="AF24" s="293">
        <v>2012</v>
      </c>
      <c r="AG24" s="6"/>
    </row>
    <row r="25" spans="1:42" s="926" customFormat="1" ht="6" customHeight="1" thickTop="1">
      <c r="A25" s="932"/>
      <c r="B25" s="132"/>
      <c r="C25" s="932"/>
      <c r="D25" s="932"/>
      <c r="E25" s="932"/>
      <c r="F25" s="932"/>
      <c r="G25" s="932"/>
      <c r="H25" s="932"/>
      <c r="I25" s="932"/>
      <c r="J25" s="932"/>
      <c r="K25" s="932"/>
      <c r="L25" s="932"/>
      <c r="M25" s="932"/>
      <c r="N25" s="932"/>
      <c r="O25" s="932"/>
      <c r="Q25" s="1470"/>
      <c r="R25" s="1471"/>
      <c r="S25" s="1466"/>
      <c r="T25" s="1466"/>
      <c r="U25" s="1466"/>
      <c r="V25" s="1466"/>
      <c r="W25" s="1466"/>
      <c r="X25" s="1466"/>
      <c r="Y25" s="1466"/>
      <c r="Z25" s="1466"/>
      <c r="AA25" s="1462"/>
      <c r="AB25" s="1325"/>
      <c r="AC25" s="318"/>
      <c r="AF25" s="293">
        <v>2011</v>
      </c>
      <c r="AG25" s="6"/>
    </row>
    <row r="26" spans="1:42" s="1377" customFormat="1" ht="39.950000000000003" customHeight="1" thickBot="1">
      <c r="A26" s="1379"/>
      <c r="B26" s="132"/>
      <c r="C26" s="426">
        <v>9</v>
      </c>
      <c r="D26" s="1656" t="s">
        <v>2469</v>
      </c>
      <c r="E26" s="1656"/>
      <c r="F26" s="1656"/>
      <c r="G26" s="1656"/>
      <c r="H26" s="1656"/>
      <c r="I26" s="1656"/>
      <c r="J26" s="1656"/>
      <c r="K26" s="1656"/>
      <c r="L26" s="1656"/>
      <c r="M26" s="1656"/>
      <c r="N26" s="1656"/>
      <c r="O26" s="1378"/>
      <c r="Q26" s="1469" t="s">
        <v>2704</v>
      </c>
      <c r="R26" s="2183" t="s">
        <v>2705</v>
      </c>
      <c r="S26" s="2183"/>
      <c r="T26" s="2183"/>
      <c r="U26" s="2183"/>
      <c r="V26" s="2183"/>
      <c r="W26" s="2183"/>
      <c r="X26" s="2183"/>
      <c r="Y26" s="2183"/>
      <c r="Z26" s="2183"/>
      <c r="AA26" s="2184"/>
      <c r="AB26" s="1381"/>
      <c r="AC26" s="318"/>
      <c r="AF26" s="293"/>
      <c r="AG26" s="6"/>
    </row>
    <row r="27" spans="1:42" s="1377" customFormat="1" ht="6" customHeight="1" thickTop="1">
      <c r="A27" s="1379"/>
      <c r="B27" s="132"/>
      <c r="C27" s="1379"/>
      <c r="D27" s="1379"/>
      <c r="E27" s="1379"/>
      <c r="F27" s="1379"/>
      <c r="G27" s="1379"/>
      <c r="H27" s="1379"/>
      <c r="I27" s="1379"/>
      <c r="J27" s="1379"/>
      <c r="K27" s="1379"/>
      <c r="L27" s="1379"/>
      <c r="M27" s="1379"/>
      <c r="N27" s="1379"/>
      <c r="O27" s="1379"/>
      <c r="Q27" s="1470"/>
      <c r="R27" s="1471"/>
      <c r="S27" s="1466"/>
      <c r="T27" s="1466"/>
      <c r="U27" s="1466"/>
      <c r="V27" s="1466"/>
      <c r="W27" s="1466"/>
      <c r="X27" s="1466"/>
      <c r="Y27" s="1466"/>
      <c r="Z27" s="1466"/>
      <c r="AA27" s="1462"/>
      <c r="AB27" s="1381"/>
      <c r="AC27" s="318"/>
      <c r="AF27" s="293"/>
      <c r="AG27" s="6"/>
    </row>
    <row r="28" spans="1:42" s="926" customFormat="1" ht="12" customHeight="1">
      <c r="A28" s="932"/>
      <c r="B28" s="132" t="s">
        <v>54</v>
      </c>
      <c r="C28" s="1593" t="s">
        <v>1509</v>
      </c>
      <c r="D28" s="1593"/>
      <c r="E28" s="1593"/>
      <c r="F28" s="1593"/>
      <c r="G28" s="1593"/>
      <c r="H28" s="1593"/>
      <c r="I28" s="1593"/>
      <c r="J28" s="1593"/>
      <c r="K28" s="1593"/>
      <c r="L28" s="1593"/>
      <c r="M28" s="1593"/>
      <c r="N28" s="1593"/>
      <c r="O28" s="1593"/>
      <c r="Q28" s="1470"/>
      <c r="R28" s="2179" t="s">
        <v>2707</v>
      </c>
      <c r="S28" s="2179"/>
      <c r="T28" s="2179"/>
      <c r="U28" s="2179"/>
      <c r="V28" s="2179"/>
      <c r="W28" s="2179"/>
      <c r="X28" s="2179"/>
      <c r="Y28" s="2179"/>
      <c r="Z28" s="2179"/>
      <c r="AA28" s="2180"/>
      <c r="AB28" s="1325"/>
      <c r="AC28" s="318"/>
      <c r="AF28" s="293">
        <v>2010</v>
      </c>
      <c r="AG28" s="6"/>
    </row>
    <row r="29" spans="1:42" s="704" customFormat="1" ht="12" customHeight="1">
      <c r="Q29" s="1470"/>
      <c r="R29" s="1458"/>
      <c r="S29" s="1458"/>
      <c r="T29" s="1458"/>
      <c r="U29" s="1458"/>
      <c r="V29" s="1458"/>
      <c r="W29" s="1458"/>
      <c r="X29" s="1458"/>
      <c r="Y29" s="1458"/>
      <c r="Z29" s="1458"/>
      <c r="AA29" s="1474"/>
      <c r="AB29" s="1326"/>
      <c r="AC29" s="318"/>
      <c r="AF29" s="293">
        <v>2009</v>
      </c>
      <c r="AG29" s="6"/>
    </row>
    <row r="30" spans="1:42" ht="12" customHeight="1" thickBot="1">
      <c r="C30" s="1607"/>
      <c r="D30" s="1607"/>
      <c r="E30" s="1593" t="s">
        <v>122</v>
      </c>
      <c r="F30" s="1593"/>
      <c r="G30" s="1593"/>
      <c r="H30" s="907"/>
      <c r="I30" s="1694" t="s">
        <v>126</v>
      </c>
      <c r="J30" s="1694"/>
      <c r="L30" s="13"/>
      <c r="M30" s="1694" t="s">
        <v>127</v>
      </c>
      <c r="N30" s="1694"/>
      <c r="Q30" s="1470"/>
      <c r="R30" s="2179" t="s">
        <v>2706</v>
      </c>
      <c r="S30" s="2179"/>
      <c r="T30" s="2179"/>
      <c r="U30" s="2179"/>
      <c r="V30" s="2179"/>
      <c r="W30" s="2179"/>
      <c r="X30" s="2179"/>
      <c r="Y30" s="2179"/>
      <c r="Z30" s="2179"/>
      <c r="AA30" s="2180"/>
      <c r="AB30" s="1324"/>
      <c r="AC30" s="234"/>
      <c r="AF30" s="293">
        <v>2008</v>
      </c>
      <c r="AG30" s="234"/>
    </row>
    <row r="31" spans="1:42" ht="6" customHeight="1" thickTop="1">
      <c r="I31" s="910"/>
      <c r="M31" s="910"/>
      <c r="N31" s="910"/>
      <c r="P31" s="1324"/>
      <c r="Q31" s="1470"/>
      <c r="R31" s="1471"/>
      <c r="S31" s="1466"/>
      <c r="T31" s="1466"/>
      <c r="U31" s="1466"/>
      <c r="V31" s="1466"/>
      <c r="W31" s="1466"/>
      <c r="X31" s="1466"/>
      <c r="Y31" s="1466"/>
      <c r="Z31" s="1466"/>
      <c r="AA31" s="1462"/>
      <c r="AB31" s="1324"/>
      <c r="AC31" s="234"/>
      <c r="AF31" s="293">
        <v>2007</v>
      </c>
      <c r="AG31" s="234"/>
    </row>
    <row r="32" spans="1:42" ht="12" customHeight="1" thickBot="1">
      <c r="C32" s="1607"/>
      <c r="D32" s="1607"/>
      <c r="E32" s="1593" t="s">
        <v>125</v>
      </c>
      <c r="F32" s="1593"/>
      <c r="G32" s="1593"/>
      <c r="H32" s="907"/>
      <c r="I32" s="1694" t="s">
        <v>129</v>
      </c>
      <c r="J32" s="1694"/>
      <c r="L32" s="13"/>
      <c r="M32" s="1694" t="s">
        <v>130</v>
      </c>
      <c r="N32" s="1694"/>
      <c r="P32" s="1324"/>
      <c r="Q32" s="1469" t="s">
        <v>2709</v>
      </c>
      <c r="R32" s="2169" t="s">
        <v>2708</v>
      </c>
      <c r="S32" s="2169"/>
      <c r="T32" s="2169"/>
      <c r="U32" s="2169"/>
      <c r="V32" s="2169"/>
      <c r="W32" s="2169"/>
      <c r="X32" s="2169"/>
      <c r="Y32" s="2169"/>
      <c r="Z32" s="2169"/>
      <c r="AA32" s="2170"/>
      <c r="AB32" s="1324"/>
      <c r="AC32" s="234"/>
      <c r="AF32" s="293">
        <v>2006</v>
      </c>
      <c r="AG32" s="234"/>
    </row>
    <row r="33" spans="2:33" ht="6" customHeight="1" thickTop="1">
      <c r="I33" s="910"/>
      <c r="M33" s="910"/>
      <c r="N33" s="910"/>
      <c r="P33" s="1324"/>
      <c r="Q33" s="1470"/>
      <c r="R33" s="1471"/>
      <c r="S33" s="1466"/>
      <c r="T33" s="1466"/>
      <c r="U33" s="1466"/>
      <c r="V33" s="1466"/>
      <c r="W33" s="1466"/>
      <c r="X33" s="1466"/>
      <c r="Y33" s="1466"/>
      <c r="Z33" s="1466"/>
      <c r="AA33" s="1462"/>
      <c r="AB33" s="1324"/>
      <c r="AC33" s="234"/>
      <c r="AF33" s="293">
        <v>2005</v>
      </c>
      <c r="AG33" s="234"/>
    </row>
    <row r="34" spans="2:33" ht="12" customHeight="1" thickBot="1">
      <c r="C34" s="1607"/>
      <c r="D34" s="1607"/>
      <c r="E34" s="1593" t="s">
        <v>128</v>
      </c>
      <c r="F34" s="1593"/>
      <c r="G34" s="1593"/>
      <c r="H34" s="907"/>
      <c r="I34" s="1694" t="s">
        <v>132</v>
      </c>
      <c r="J34" s="1694"/>
      <c r="L34" s="13"/>
      <c r="M34" s="1694" t="s">
        <v>133</v>
      </c>
      <c r="N34" s="1694"/>
      <c r="P34" s="1324"/>
      <c r="Q34" s="2194" t="s">
        <v>2439</v>
      </c>
      <c r="R34" s="2195"/>
      <c r="S34" s="2195"/>
      <c r="T34" s="2195"/>
      <c r="U34" s="2195"/>
      <c r="V34" s="2195"/>
      <c r="W34" s="2195"/>
      <c r="X34" s="2195"/>
      <c r="Y34" s="2195"/>
      <c r="Z34" s="2195"/>
      <c r="AA34" s="2196"/>
      <c r="AB34" s="1324"/>
      <c r="AC34" s="234"/>
      <c r="AF34" s="293">
        <v>2004</v>
      </c>
      <c r="AG34" s="234"/>
    </row>
    <row r="35" spans="2:33" ht="6" customHeight="1" thickTop="1">
      <c r="M35" s="910"/>
      <c r="N35" s="910"/>
      <c r="P35" s="1324"/>
      <c r="Q35" s="1470"/>
      <c r="R35" s="1471"/>
      <c r="S35" s="1466"/>
      <c r="T35" s="1466"/>
      <c r="U35" s="1466"/>
      <c r="V35" s="1466"/>
      <c r="W35" s="1466"/>
      <c r="X35" s="1466"/>
      <c r="Y35" s="1466"/>
      <c r="Z35" s="1466"/>
      <c r="AA35" s="1462"/>
      <c r="AB35" s="1324"/>
      <c r="AC35" s="234"/>
      <c r="AF35" s="293">
        <v>2003</v>
      </c>
      <c r="AG35" s="234"/>
    </row>
    <row r="36" spans="2:33" ht="12" customHeight="1" thickBot="1">
      <c r="C36" s="1607"/>
      <c r="D36" s="1607"/>
      <c r="E36" s="1593" t="s">
        <v>131</v>
      </c>
      <c r="F36" s="1593"/>
      <c r="G36" s="1593"/>
      <c r="H36" s="907"/>
      <c r="I36" s="1694" t="s">
        <v>134</v>
      </c>
      <c r="J36" s="1694"/>
      <c r="L36" s="13"/>
      <c r="M36" s="1694" t="s">
        <v>135</v>
      </c>
      <c r="N36" s="1694"/>
      <c r="P36" s="1324"/>
      <c r="Q36" s="1346" t="s">
        <v>63</v>
      </c>
      <c r="R36" s="2171" t="s">
        <v>2440</v>
      </c>
      <c r="S36" s="2171"/>
      <c r="T36" s="2171"/>
      <c r="U36" s="2171"/>
      <c r="V36" s="2171"/>
      <c r="W36" s="2171"/>
      <c r="X36" s="2171"/>
      <c r="Y36" s="2171"/>
      <c r="Z36" s="2171"/>
      <c r="AA36" s="2178"/>
      <c r="AB36" s="1324"/>
      <c r="AC36" s="234"/>
      <c r="AF36" s="293">
        <v>2002</v>
      </c>
      <c r="AG36" s="234"/>
    </row>
    <row r="37" spans="2:33" ht="6" customHeight="1" thickTop="1">
      <c r="I37" s="910"/>
      <c r="M37" s="910"/>
      <c r="N37" s="910"/>
      <c r="P37" s="1324"/>
      <c r="Q37" s="2194"/>
      <c r="R37" s="2195"/>
      <c r="S37" s="2195"/>
      <c r="T37" s="2195"/>
      <c r="U37" s="2195"/>
      <c r="V37" s="2195"/>
      <c r="W37" s="2195"/>
      <c r="X37" s="2195"/>
      <c r="Y37" s="2195"/>
      <c r="Z37" s="2195"/>
      <c r="AA37" s="1462"/>
      <c r="AB37" s="1324"/>
      <c r="AC37" s="234"/>
      <c r="AF37" s="293">
        <v>2001</v>
      </c>
      <c r="AG37" s="234"/>
    </row>
    <row r="38" spans="2:33" ht="12" customHeight="1" thickBot="1">
      <c r="C38" s="1607"/>
      <c r="D38" s="1607"/>
      <c r="E38" s="1593" t="s">
        <v>999</v>
      </c>
      <c r="F38" s="1593"/>
      <c r="G38" s="1593"/>
      <c r="H38" s="907"/>
      <c r="I38" s="1694" t="s">
        <v>136</v>
      </c>
      <c r="J38" s="1694"/>
      <c r="L38" s="13"/>
      <c r="M38" s="1694" t="s">
        <v>169</v>
      </c>
      <c r="N38" s="1694"/>
      <c r="P38" s="1324"/>
      <c r="Q38" s="1346" t="s">
        <v>64</v>
      </c>
      <c r="R38" s="2171" t="s">
        <v>2441</v>
      </c>
      <c r="S38" s="2171"/>
      <c r="T38" s="2171"/>
      <c r="U38" s="2171"/>
      <c r="V38" s="2171"/>
      <c r="W38" s="2171"/>
      <c r="X38" s="2171"/>
      <c r="Y38" s="2171"/>
      <c r="Z38" s="2171"/>
      <c r="AA38" s="2178"/>
      <c r="AB38" s="1324"/>
      <c r="AC38" s="234"/>
      <c r="AD38" s="20" t="str">
        <f>IF(L38="","",(L38))</f>
        <v/>
      </c>
      <c r="AE38" s="4" t="s">
        <v>169</v>
      </c>
      <c r="AF38" s="293">
        <v>2000</v>
      </c>
      <c r="AG38" s="234"/>
    </row>
    <row r="39" spans="2:33" ht="6" customHeight="1" thickTop="1">
      <c r="N39" s="910"/>
      <c r="P39" s="1324"/>
      <c r="Q39" s="1341" t="s">
        <v>63</v>
      </c>
      <c r="R39" s="2171"/>
      <c r="S39" s="2171"/>
      <c r="T39" s="2171"/>
      <c r="U39" s="2171"/>
      <c r="V39" s="2171"/>
      <c r="W39" s="2171"/>
      <c r="X39" s="2171"/>
      <c r="Y39" s="2171"/>
      <c r="Z39" s="2171"/>
      <c r="AA39" s="1462"/>
      <c r="AB39" s="1324"/>
      <c r="AC39" s="234"/>
      <c r="AF39" s="293">
        <v>1999</v>
      </c>
      <c r="AG39" s="234"/>
    </row>
    <row r="40" spans="2:33" ht="12" customHeight="1" thickBot="1">
      <c r="C40" s="1607"/>
      <c r="D40" s="1607"/>
      <c r="E40" s="1694" t="s">
        <v>123</v>
      </c>
      <c r="F40" s="1694"/>
      <c r="G40" s="1694"/>
      <c r="H40" s="907"/>
      <c r="I40" s="1694" t="s">
        <v>124</v>
      </c>
      <c r="J40" s="1694"/>
      <c r="L40" s="910"/>
      <c r="N40" s="909"/>
      <c r="Q40" s="1346" t="s">
        <v>67</v>
      </c>
      <c r="R40" s="2188" t="s">
        <v>2442</v>
      </c>
      <c r="S40" s="2188"/>
      <c r="T40" s="2188"/>
      <c r="U40" s="2188"/>
      <c r="V40" s="2188"/>
      <c r="W40" s="2188"/>
      <c r="X40" s="2188"/>
      <c r="Y40" s="2188"/>
      <c r="Z40" s="2188"/>
      <c r="AA40" s="2189"/>
      <c r="AF40" s="293">
        <v>1998</v>
      </c>
    </row>
    <row r="41" spans="2:33" ht="6" customHeight="1" thickTop="1">
      <c r="F41" s="910"/>
      <c r="G41" s="910"/>
      <c r="N41" s="910"/>
      <c r="P41" s="1324"/>
      <c r="Q41" s="1346"/>
      <c r="R41" s="2188"/>
      <c r="S41" s="2188"/>
      <c r="T41" s="2188"/>
      <c r="U41" s="2188"/>
      <c r="V41" s="2188"/>
      <c r="W41" s="2188"/>
      <c r="X41" s="2188"/>
      <c r="Y41" s="2188"/>
      <c r="Z41" s="2188"/>
      <c r="AA41" s="2189"/>
      <c r="AB41" s="1324"/>
      <c r="AC41" s="234"/>
      <c r="AF41" s="293">
        <v>1997</v>
      </c>
      <c r="AG41" s="234"/>
    </row>
    <row r="42" spans="2:33" ht="15" customHeight="1" thickBot="1">
      <c r="B42" s="132" t="s">
        <v>55</v>
      </c>
      <c r="C42" s="1593" t="s">
        <v>856</v>
      </c>
      <c r="D42" s="1593"/>
      <c r="E42" s="1593"/>
      <c r="F42" s="1593"/>
      <c r="G42" s="1593"/>
      <c r="H42" s="1593"/>
      <c r="I42" s="1593"/>
      <c r="J42" s="1593"/>
      <c r="K42" s="1593"/>
      <c r="L42" s="1593"/>
      <c r="M42" s="1593"/>
      <c r="N42" s="1593"/>
      <c r="O42" s="13"/>
      <c r="Q42" s="1351"/>
      <c r="R42" s="2188"/>
      <c r="S42" s="2188"/>
      <c r="T42" s="2188"/>
      <c r="U42" s="2188"/>
      <c r="V42" s="2188"/>
      <c r="W42" s="2188"/>
      <c r="X42" s="2188"/>
      <c r="Y42" s="2188"/>
      <c r="Z42" s="2188"/>
      <c r="AA42" s="2189"/>
      <c r="AF42" s="293">
        <v>1996</v>
      </c>
    </row>
    <row r="43" spans="2:33" ht="9.9499999999999993" customHeight="1" thickTop="1">
      <c r="Q43" s="1346"/>
      <c r="R43" s="1466"/>
      <c r="S43" s="1466"/>
      <c r="T43" s="1466"/>
      <c r="U43" s="1466"/>
      <c r="V43" s="1466"/>
      <c r="W43" s="1466"/>
      <c r="X43" s="1466"/>
      <c r="Y43" s="1466"/>
      <c r="Z43" s="1466"/>
      <c r="AA43" s="1475"/>
      <c r="AF43" s="293">
        <v>1995</v>
      </c>
    </row>
    <row r="44" spans="2:33" ht="15" customHeight="1">
      <c r="C44" s="1593" t="s">
        <v>861</v>
      </c>
      <c r="D44" s="1593"/>
      <c r="E44" s="1593"/>
      <c r="F44" s="1593"/>
      <c r="G44" s="1593"/>
      <c r="H44" s="1593"/>
      <c r="I44" s="1593"/>
      <c r="J44" s="1593"/>
      <c r="K44" s="1593"/>
      <c r="L44" s="1593"/>
      <c r="M44" s="1593"/>
      <c r="N44" s="1593"/>
      <c r="O44" s="1593"/>
      <c r="Q44" s="1473" t="s">
        <v>92</v>
      </c>
      <c r="R44" s="2190" t="s">
        <v>2444</v>
      </c>
      <c r="S44" s="2190"/>
      <c r="T44" s="2190"/>
      <c r="U44" s="2190"/>
      <c r="V44" s="2190"/>
      <c r="W44" s="2190"/>
      <c r="X44" s="2190"/>
      <c r="Y44" s="2190"/>
      <c r="Z44" s="2190"/>
      <c r="AA44" s="2191"/>
      <c r="AF44" s="293">
        <v>1994</v>
      </c>
    </row>
    <row r="45" spans="2:33" ht="15" customHeight="1" thickBot="1">
      <c r="C45" s="1605"/>
      <c r="D45" s="1605"/>
      <c r="E45" s="1605"/>
      <c r="F45" s="1605"/>
      <c r="G45" s="1605"/>
      <c r="H45" s="1605"/>
      <c r="I45" s="1605"/>
      <c r="J45" s="1605"/>
      <c r="K45" s="1605"/>
      <c r="L45" s="1605"/>
      <c r="M45" s="1605"/>
      <c r="N45" s="1605"/>
      <c r="O45" s="1605"/>
      <c r="Q45" s="1351"/>
      <c r="R45" s="2190"/>
      <c r="S45" s="2190"/>
      <c r="T45" s="2190"/>
      <c r="U45" s="2190"/>
      <c r="V45" s="2190"/>
      <c r="W45" s="2190"/>
      <c r="X45" s="2190"/>
      <c r="Y45" s="2190"/>
      <c r="Z45" s="2190"/>
      <c r="AA45" s="2191"/>
      <c r="AF45" s="293">
        <v>1993</v>
      </c>
    </row>
    <row r="46" spans="2:33" ht="15" customHeight="1" thickTop="1" thickBot="1">
      <c r="C46" s="1605"/>
      <c r="D46" s="1605"/>
      <c r="E46" s="1605"/>
      <c r="F46" s="1605"/>
      <c r="G46" s="1605"/>
      <c r="H46" s="1605"/>
      <c r="I46" s="1605"/>
      <c r="J46" s="1605"/>
      <c r="K46" s="1605"/>
      <c r="L46" s="1605"/>
      <c r="M46" s="1605"/>
      <c r="N46" s="1605"/>
      <c r="O46" s="1605"/>
      <c r="Q46" s="1351"/>
      <c r="R46" s="1467"/>
      <c r="S46" s="1467"/>
      <c r="T46" s="1467"/>
      <c r="U46" s="1467"/>
      <c r="V46" s="1467"/>
      <c r="W46" s="1467"/>
      <c r="X46" s="1467"/>
      <c r="Y46" s="1467"/>
      <c r="Z46" s="1467"/>
      <c r="AA46" s="1350"/>
      <c r="AF46" s="293">
        <v>1992</v>
      </c>
    </row>
    <row r="47" spans="2:33" ht="6" customHeight="1" thickTop="1">
      <c r="Q47" s="1346"/>
      <c r="R47" s="1386"/>
      <c r="S47" s="1386"/>
      <c r="T47" s="1386"/>
      <c r="U47" s="1386"/>
      <c r="V47" s="1386"/>
      <c r="W47" s="1386"/>
      <c r="X47" s="1386"/>
      <c r="Y47" s="1386"/>
      <c r="Z47" s="1386"/>
      <c r="AA47" s="1350"/>
      <c r="AF47" s="293">
        <v>1991</v>
      </c>
    </row>
    <row r="48" spans="2:33" ht="15" customHeight="1" thickBot="1">
      <c r="B48" s="132" t="s">
        <v>56</v>
      </c>
      <c r="C48" s="1593" t="s">
        <v>857</v>
      </c>
      <c r="D48" s="1593"/>
      <c r="E48" s="1593"/>
      <c r="F48" s="1593"/>
      <c r="G48" s="1593"/>
      <c r="H48" s="1593"/>
      <c r="I48" s="1593"/>
      <c r="J48" s="1593"/>
      <c r="K48" s="1593"/>
      <c r="L48" s="1593"/>
      <c r="M48" s="1593"/>
      <c r="N48" s="1593"/>
      <c r="O48" s="13"/>
      <c r="Q48" s="1346" t="s">
        <v>93</v>
      </c>
      <c r="R48" s="2171" t="s">
        <v>2470</v>
      </c>
      <c r="S48" s="2171"/>
      <c r="T48" s="2171"/>
      <c r="U48" s="2171"/>
      <c r="V48" s="2171"/>
      <c r="W48" s="2171"/>
      <c r="X48" s="2171"/>
      <c r="Y48" s="2171"/>
      <c r="Z48" s="2171"/>
      <c r="AA48" s="2178"/>
      <c r="AF48" s="293">
        <v>1990</v>
      </c>
    </row>
    <row r="49" spans="2:32" ht="9.9499999999999993" customHeight="1" thickTop="1">
      <c r="Q49" s="1349"/>
      <c r="R49" s="1386"/>
      <c r="S49" s="1386"/>
      <c r="T49" s="1386"/>
      <c r="U49" s="1386"/>
      <c r="V49" s="1386"/>
      <c r="W49" s="1386"/>
      <c r="X49" s="1386"/>
      <c r="Y49" s="1386"/>
      <c r="Z49" s="1386"/>
      <c r="AA49" s="1350"/>
      <c r="AF49" s="293">
        <v>1989</v>
      </c>
    </row>
    <row r="50" spans="2:32" ht="12" customHeight="1">
      <c r="C50" s="1593" t="s">
        <v>862</v>
      </c>
      <c r="D50" s="1593"/>
      <c r="E50" s="1593"/>
      <c r="F50" s="1593"/>
      <c r="G50" s="1593"/>
      <c r="H50" s="1593"/>
      <c r="I50" s="1593"/>
      <c r="J50" s="1593"/>
      <c r="K50" s="1593"/>
      <c r="L50" s="1593"/>
      <c r="M50" s="1593"/>
      <c r="N50" s="1593"/>
      <c r="O50" s="1593"/>
      <c r="Q50" s="1352"/>
      <c r="R50" s="2192" t="s">
        <v>2855</v>
      </c>
      <c r="S50" s="2192"/>
      <c r="T50" s="2192"/>
      <c r="U50" s="2192"/>
      <c r="V50" s="2192"/>
      <c r="W50" s="2192"/>
      <c r="X50" s="2192"/>
      <c r="Y50" s="2192"/>
      <c r="Z50" s="2192"/>
      <c r="AA50" s="2193"/>
      <c r="AF50" s="293">
        <v>1988</v>
      </c>
    </row>
    <row r="51" spans="2:32" ht="15" customHeight="1" thickBot="1">
      <c r="C51" s="1605"/>
      <c r="D51" s="1605"/>
      <c r="E51" s="1605"/>
      <c r="F51" s="1605"/>
      <c r="G51" s="1605"/>
      <c r="H51" s="1605"/>
      <c r="I51" s="1605"/>
      <c r="J51" s="1605"/>
      <c r="K51" s="1605"/>
      <c r="L51" s="1605"/>
      <c r="M51" s="1605"/>
      <c r="N51" s="1605"/>
      <c r="O51" s="1605"/>
      <c r="Q51" s="1476"/>
      <c r="R51" s="1478"/>
      <c r="S51" s="1478"/>
      <c r="T51" s="1478"/>
      <c r="U51" s="1478"/>
      <c r="V51" s="1478"/>
      <c r="W51" s="1478"/>
      <c r="X51" s="1478"/>
      <c r="Y51" s="1478"/>
      <c r="Z51" s="1478"/>
      <c r="AA51" s="1477"/>
      <c r="AF51" s="293">
        <v>1987</v>
      </c>
    </row>
    <row r="52" spans="2:32" ht="15" customHeight="1" thickTop="1" thickBot="1">
      <c r="C52" s="1605"/>
      <c r="D52" s="1605"/>
      <c r="E52" s="1605"/>
      <c r="F52" s="1605"/>
      <c r="G52" s="1605"/>
      <c r="H52" s="1605"/>
      <c r="I52" s="1605"/>
      <c r="J52" s="1605"/>
      <c r="K52" s="1605"/>
      <c r="L52" s="1605"/>
      <c r="M52" s="1605"/>
      <c r="N52" s="1605"/>
      <c r="O52" s="1605"/>
      <c r="Q52" s="1461"/>
      <c r="R52" s="1461"/>
      <c r="S52" s="1461"/>
      <c r="T52" s="1461"/>
      <c r="U52" s="1461"/>
      <c r="V52" s="1461"/>
      <c r="W52" s="1461"/>
      <c r="X52" s="1461"/>
      <c r="Y52" s="1461"/>
      <c r="Z52" s="1461"/>
      <c r="AF52" s="293">
        <v>1986</v>
      </c>
    </row>
    <row r="53" spans="2:32" ht="6" customHeight="1" thickTop="1">
      <c r="Q53" s="1387"/>
      <c r="R53" s="1386"/>
      <c r="S53" s="1386"/>
      <c r="T53" s="1386"/>
      <c r="U53" s="1386"/>
      <c r="V53" s="1386"/>
      <c r="W53" s="1386"/>
      <c r="X53" s="1386"/>
      <c r="Y53" s="1386"/>
      <c r="Z53" s="1386"/>
      <c r="AF53" s="293">
        <v>1985</v>
      </c>
    </row>
    <row r="54" spans="2:32" ht="15" customHeight="1" thickBot="1">
      <c r="B54" s="132" t="s">
        <v>105</v>
      </c>
      <c r="C54" s="1593" t="s">
        <v>858</v>
      </c>
      <c r="D54" s="1593"/>
      <c r="E54" s="1593"/>
      <c r="F54" s="1593"/>
      <c r="G54" s="1593"/>
      <c r="H54" s="1593"/>
      <c r="I54" s="1593"/>
      <c r="J54" s="1593"/>
      <c r="K54" s="1593"/>
      <c r="L54" s="1593"/>
      <c r="M54" s="1593"/>
      <c r="N54" s="1593"/>
      <c r="O54" s="13"/>
      <c r="Q54" s="108"/>
      <c r="R54" s="1386"/>
      <c r="S54" s="1386"/>
      <c r="T54" s="1386"/>
      <c r="U54" s="1386"/>
      <c r="V54" s="1386"/>
      <c r="W54" s="1386"/>
      <c r="X54" s="1386"/>
      <c r="Y54" s="1386"/>
      <c r="Z54" s="1386"/>
      <c r="AF54" s="293">
        <v>1984</v>
      </c>
    </row>
    <row r="55" spans="2:32" ht="9.9499999999999993" customHeight="1" thickTop="1">
      <c r="Q55" s="108"/>
      <c r="R55" s="1386"/>
      <c r="S55" s="1386"/>
      <c r="T55" s="1386"/>
      <c r="U55" s="1386"/>
      <c r="V55" s="1386"/>
      <c r="W55" s="1386"/>
      <c r="X55" s="1386"/>
      <c r="Y55" s="1386"/>
      <c r="Z55" s="1386"/>
      <c r="AF55" s="293">
        <v>1983</v>
      </c>
    </row>
    <row r="56" spans="2:32" ht="12" customHeight="1">
      <c r="C56" s="1593" t="s">
        <v>863</v>
      </c>
      <c r="D56" s="1593"/>
      <c r="E56" s="1593"/>
      <c r="F56" s="1593"/>
      <c r="G56" s="1593"/>
      <c r="H56" s="1593"/>
      <c r="I56" s="1593"/>
      <c r="J56" s="1593"/>
      <c r="K56" s="1593"/>
      <c r="L56" s="1593"/>
      <c r="M56" s="1593"/>
      <c r="N56" s="1593"/>
      <c r="O56" s="1593"/>
      <c r="Q56" s="1382"/>
      <c r="R56" s="1382"/>
      <c r="S56" s="1382"/>
      <c r="T56" s="1382"/>
      <c r="U56" s="1382"/>
      <c r="V56" s="1382"/>
      <c r="W56" s="1382"/>
      <c r="X56" s="1382"/>
      <c r="Y56" s="1382"/>
      <c r="Z56" s="1382"/>
      <c r="AF56" s="293">
        <v>1982</v>
      </c>
    </row>
    <row r="57" spans="2:32" ht="15" customHeight="1" thickBot="1">
      <c r="C57" s="1605"/>
      <c r="D57" s="1605"/>
      <c r="E57" s="1605"/>
      <c r="F57" s="1605"/>
      <c r="G57" s="1605"/>
      <c r="H57" s="1605"/>
      <c r="I57" s="1605"/>
      <c r="J57" s="1605"/>
      <c r="K57" s="1605"/>
      <c r="L57" s="1605"/>
      <c r="M57" s="1605"/>
      <c r="N57" s="1605"/>
      <c r="O57" s="1605"/>
      <c r="Q57" s="1382"/>
      <c r="R57" s="1382"/>
      <c r="S57" s="1382"/>
      <c r="T57" s="1382"/>
      <c r="U57" s="1382"/>
      <c r="V57" s="1382"/>
      <c r="W57" s="1382"/>
      <c r="X57" s="1382"/>
      <c r="Y57" s="1382"/>
      <c r="Z57" s="1382"/>
      <c r="AF57" s="293">
        <v>1981</v>
      </c>
    </row>
    <row r="58" spans="2:32" ht="15" customHeight="1" thickTop="1" thickBot="1">
      <c r="C58" s="1605"/>
      <c r="D58" s="1605"/>
      <c r="E58" s="1605"/>
      <c r="F58" s="1605"/>
      <c r="G58" s="1605"/>
      <c r="H58" s="1605"/>
      <c r="I58" s="1605"/>
      <c r="J58" s="1605"/>
      <c r="K58" s="1605"/>
      <c r="L58" s="1605"/>
      <c r="M58" s="1605"/>
      <c r="N58" s="1605"/>
      <c r="O58" s="1605"/>
      <c r="AA58" s="975"/>
      <c r="AF58" s="293">
        <v>1980</v>
      </c>
    </row>
    <row r="59" spans="2:32" ht="6" customHeight="1" thickTop="1">
      <c r="AF59" s="293">
        <v>1979</v>
      </c>
    </row>
    <row r="60" spans="2:32" ht="15" customHeight="1" thickBot="1">
      <c r="B60" s="132" t="s">
        <v>106</v>
      </c>
      <c r="C60" s="1593" t="s">
        <v>859</v>
      </c>
      <c r="D60" s="1593"/>
      <c r="E60" s="1593"/>
      <c r="F60" s="1593"/>
      <c r="G60" s="1593"/>
      <c r="H60" s="1593"/>
      <c r="I60" s="1593"/>
      <c r="J60" s="1593"/>
      <c r="K60" s="1593"/>
      <c r="L60" s="1593"/>
      <c r="M60" s="1593"/>
      <c r="N60" s="1593"/>
      <c r="O60" s="13"/>
      <c r="AA60" s="975"/>
      <c r="AF60" s="293">
        <v>1978</v>
      </c>
    </row>
    <row r="61" spans="2:32" ht="9.9499999999999993" customHeight="1" thickTop="1">
      <c r="AA61" s="262"/>
      <c r="AF61" s="293">
        <v>1977</v>
      </c>
    </row>
    <row r="62" spans="2:32" ht="12" customHeight="1">
      <c r="C62" s="1593" t="s">
        <v>2445</v>
      </c>
      <c r="D62" s="1593"/>
      <c r="E62" s="1593"/>
      <c r="F62" s="1593"/>
      <c r="G62" s="1593"/>
      <c r="H62" s="1593"/>
      <c r="I62" s="1593"/>
      <c r="J62" s="1593"/>
      <c r="K62" s="1593"/>
      <c r="L62" s="1593"/>
      <c r="M62" s="1593"/>
      <c r="N62" s="1593"/>
      <c r="O62" s="1593"/>
      <c r="AA62" s="262"/>
      <c r="AF62" s="293">
        <v>1976</v>
      </c>
    </row>
    <row r="63" spans="2:32" ht="15" customHeight="1" thickBot="1">
      <c r="C63" s="1605"/>
      <c r="D63" s="1605"/>
      <c r="E63" s="1605"/>
      <c r="F63" s="1605"/>
      <c r="G63" s="1605"/>
      <c r="H63" s="1605"/>
      <c r="I63" s="1605"/>
      <c r="J63" s="1605"/>
      <c r="K63" s="1605"/>
      <c r="L63" s="1605"/>
      <c r="M63" s="1605"/>
      <c r="N63" s="1605"/>
      <c r="O63" s="1605"/>
      <c r="AA63" s="262"/>
      <c r="AF63" s="293">
        <v>1975</v>
      </c>
    </row>
    <row r="64" spans="2:32" ht="6" customHeight="1" thickTop="1">
      <c r="AA64" s="262"/>
      <c r="AF64" s="293">
        <v>1973</v>
      </c>
    </row>
    <row r="65" spans="1:32" ht="15" customHeight="1" thickBot="1">
      <c r="A65" s="81"/>
      <c r="B65" s="132" t="s">
        <v>107</v>
      </c>
      <c r="C65" s="1668" t="s">
        <v>860</v>
      </c>
      <c r="D65" s="1668"/>
      <c r="E65" s="1668"/>
      <c r="F65" s="1668"/>
      <c r="G65" s="1668"/>
      <c r="H65" s="1668"/>
      <c r="I65" s="1668"/>
      <c r="J65" s="1668"/>
      <c r="K65" s="1668"/>
      <c r="L65" s="1668"/>
      <c r="M65" s="1668"/>
      <c r="N65" s="1668"/>
      <c r="O65" s="13"/>
      <c r="P65" s="975"/>
      <c r="AA65" s="975"/>
      <c r="AB65" s="975"/>
      <c r="AF65" s="293">
        <v>1972</v>
      </c>
    </row>
    <row r="66" spans="1:32" ht="9.9499999999999993" customHeight="1" thickTop="1">
      <c r="AF66" s="293">
        <v>1971</v>
      </c>
    </row>
    <row r="67" spans="1:32" ht="39" customHeight="1" thickBot="1">
      <c r="A67" s="81"/>
      <c r="B67" s="158"/>
      <c r="C67" s="158">
        <v>1</v>
      </c>
      <c r="D67" s="1752" t="s">
        <v>2446</v>
      </c>
      <c r="E67" s="1752"/>
      <c r="F67" s="1752"/>
      <c r="G67" s="1752"/>
      <c r="H67" s="1752"/>
      <c r="I67" s="1752"/>
      <c r="J67" s="1752"/>
      <c r="K67" s="1752"/>
      <c r="L67" s="1752"/>
      <c r="M67" s="1752"/>
      <c r="N67" s="1752"/>
      <c r="O67" s="427"/>
      <c r="P67" s="975"/>
      <c r="AB67" s="975"/>
      <c r="AF67" s="293">
        <v>1970</v>
      </c>
    </row>
    <row r="68" spans="1:32" ht="6" customHeight="1" thickTop="1">
      <c r="A68" s="12"/>
      <c r="B68" s="21"/>
      <c r="C68" s="24"/>
      <c r="D68" s="24"/>
      <c r="E68" s="24"/>
      <c r="F68" s="24"/>
      <c r="G68" s="24"/>
      <c r="H68" s="24"/>
      <c r="I68" s="24"/>
      <c r="J68" s="24"/>
      <c r="K68" s="24"/>
      <c r="L68" s="24"/>
      <c r="M68" s="24"/>
      <c r="N68" s="24"/>
      <c r="O68" s="24"/>
      <c r="P68" s="262"/>
      <c r="AB68" s="262"/>
      <c r="AF68" s="293">
        <v>1969</v>
      </c>
    </row>
    <row r="69" spans="1:32" ht="26.1" customHeight="1">
      <c r="A69" s="12"/>
      <c r="B69" s="158"/>
      <c r="C69" s="158">
        <v>2</v>
      </c>
      <c r="D69" s="1656" t="s">
        <v>2060</v>
      </c>
      <c r="E69" s="1656"/>
      <c r="F69" s="1656"/>
      <c r="G69" s="1656"/>
      <c r="H69" s="1656"/>
      <c r="I69" s="1656"/>
      <c r="J69" s="1656"/>
      <c r="K69" s="1656"/>
      <c r="L69" s="1656"/>
      <c r="M69" s="1656"/>
      <c r="N69" s="1656"/>
      <c r="O69" s="1656"/>
      <c r="P69" s="262"/>
      <c r="AB69" s="262"/>
      <c r="AF69" s="293">
        <v>1968</v>
      </c>
    </row>
    <row r="70" spans="1:32" ht="15" customHeight="1" thickBot="1">
      <c r="A70" s="12"/>
      <c r="B70" s="21"/>
      <c r="C70" s="21"/>
      <c r="D70" s="1605"/>
      <c r="E70" s="1605"/>
      <c r="F70" s="1605"/>
      <c r="G70" s="1605"/>
      <c r="H70" s="1605"/>
      <c r="I70" s="1605"/>
      <c r="J70" s="1605"/>
      <c r="K70" s="1605"/>
      <c r="L70" s="1605"/>
      <c r="M70" s="1605"/>
      <c r="N70" s="1605"/>
      <c r="O70" s="1605"/>
      <c r="P70" s="262"/>
      <c r="AB70" s="262"/>
      <c r="AF70" s="293">
        <v>1967</v>
      </c>
    </row>
    <row r="71" spans="1:32" ht="15" customHeight="1" thickTop="1">
      <c r="A71" s="12"/>
      <c r="B71" s="524"/>
      <c r="C71" s="1083"/>
      <c r="D71" s="1083"/>
      <c r="E71" s="1083"/>
      <c r="F71" s="1083"/>
      <c r="G71" s="1083"/>
      <c r="H71" s="1083"/>
      <c r="I71" s="1083"/>
      <c r="J71" s="1083"/>
      <c r="K71" s="1083"/>
      <c r="L71" s="1083"/>
      <c r="M71" s="1083"/>
      <c r="N71" s="1083"/>
      <c r="O71" s="1083"/>
      <c r="P71" s="262"/>
      <c r="AB71" s="262"/>
      <c r="AF71" s="293">
        <v>1966</v>
      </c>
    </row>
    <row r="72" spans="1:32" ht="12" customHeight="1">
      <c r="B72" s="202"/>
      <c r="C72" s="202"/>
      <c r="D72" s="202"/>
      <c r="E72" s="202"/>
      <c r="F72" s="202"/>
      <c r="G72" s="202"/>
      <c r="H72" s="202"/>
      <c r="I72" s="202"/>
      <c r="J72" s="202"/>
      <c r="K72" s="202"/>
      <c r="L72" s="202"/>
      <c r="M72" s="202"/>
      <c r="N72" s="202"/>
      <c r="O72" s="202"/>
      <c r="P72" s="975"/>
      <c r="AB72" s="975"/>
      <c r="AF72" s="293">
        <v>1965</v>
      </c>
    </row>
    <row r="73" spans="1:32" ht="15" customHeight="1">
      <c r="AF73" s="293">
        <v>1964</v>
      </c>
    </row>
    <row r="74" spans="1:32" ht="15" customHeight="1">
      <c r="AF74" s="293">
        <v>1963</v>
      </c>
    </row>
    <row r="75" spans="1:32" ht="15" customHeight="1">
      <c r="AF75" s="293">
        <v>1962</v>
      </c>
    </row>
    <row r="76" spans="1:32" ht="15" customHeight="1">
      <c r="AF76" s="293">
        <v>1961</v>
      </c>
    </row>
    <row r="77" spans="1:32" ht="15" customHeight="1">
      <c r="AF77" s="293">
        <v>1960</v>
      </c>
    </row>
    <row r="78" spans="1:32" ht="15" customHeight="1">
      <c r="AF78" s="293">
        <v>1959</v>
      </c>
    </row>
    <row r="79" spans="1:32" ht="15" customHeight="1">
      <c r="D79" s="202"/>
      <c r="AF79" s="293">
        <v>1958</v>
      </c>
    </row>
    <row r="80" spans="1:32" ht="15" customHeight="1">
      <c r="D80" s="202"/>
      <c r="Q80" s="975"/>
      <c r="R80" s="975"/>
      <c r="S80" s="975"/>
      <c r="T80" s="975"/>
      <c r="U80" s="975"/>
      <c r="V80" s="975"/>
      <c r="W80" s="975"/>
      <c r="X80" s="975"/>
      <c r="Y80" s="975"/>
      <c r="Z80" s="975"/>
      <c r="AF80" s="293">
        <v>1957</v>
      </c>
    </row>
    <row r="81" spans="17:32" ht="15" customHeight="1">
      <c r="AF81" s="293">
        <v>1956</v>
      </c>
    </row>
    <row r="82" spans="17:32" ht="15" customHeight="1">
      <c r="Q82" s="975"/>
      <c r="R82" s="975"/>
      <c r="S82" s="975"/>
      <c r="T82" s="975"/>
      <c r="U82" s="975"/>
      <c r="V82" s="975"/>
      <c r="W82" s="975"/>
      <c r="X82" s="975"/>
      <c r="Y82" s="975"/>
      <c r="Z82" s="975"/>
      <c r="AF82" s="293">
        <v>1955</v>
      </c>
    </row>
    <row r="83" spans="17:32" ht="15" customHeight="1">
      <c r="Q83" s="262"/>
      <c r="R83" s="262"/>
      <c r="S83" s="262"/>
      <c r="T83" s="262"/>
      <c r="U83" s="262"/>
      <c r="V83" s="262"/>
      <c r="W83" s="262"/>
      <c r="X83" s="262"/>
      <c r="Y83" s="262"/>
      <c r="Z83" s="262"/>
      <c r="AF83" s="293">
        <v>1954</v>
      </c>
    </row>
    <row r="84" spans="17:32" ht="15" customHeight="1">
      <c r="Q84" s="262"/>
      <c r="R84" s="262"/>
      <c r="S84" s="262"/>
      <c r="T84" s="262"/>
      <c r="U84" s="262"/>
      <c r="V84" s="262"/>
      <c r="W84" s="262"/>
      <c r="X84" s="262"/>
      <c r="Y84" s="262"/>
      <c r="Z84" s="262"/>
      <c r="AF84" s="293">
        <v>1953</v>
      </c>
    </row>
    <row r="85" spans="17:32" ht="15" customHeight="1">
      <c r="Q85" s="262"/>
      <c r="R85" s="262"/>
      <c r="S85" s="262"/>
      <c r="T85" s="262"/>
      <c r="U85" s="262"/>
      <c r="V85" s="262"/>
      <c r="W85" s="262"/>
      <c r="X85" s="262"/>
      <c r="Y85" s="262"/>
      <c r="Z85" s="262"/>
      <c r="AF85" s="293">
        <v>1952</v>
      </c>
    </row>
    <row r="86" spans="17:32" ht="15" customHeight="1">
      <c r="Q86" s="262"/>
      <c r="R86" s="262"/>
      <c r="S86" s="262"/>
      <c r="T86" s="262"/>
      <c r="U86" s="262"/>
      <c r="V86" s="262"/>
      <c r="W86" s="262"/>
      <c r="X86" s="262"/>
      <c r="Y86" s="262"/>
      <c r="Z86" s="262"/>
      <c r="AF86" s="293">
        <v>1951</v>
      </c>
    </row>
    <row r="87" spans="17:32" ht="15" customHeight="1">
      <c r="Q87" s="975"/>
      <c r="R87" s="975"/>
      <c r="S87" s="975"/>
      <c r="T87" s="975"/>
      <c r="U87" s="975"/>
      <c r="V87" s="975"/>
      <c r="W87" s="975"/>
      <c r="X87" s="975"/>
      <c r="Y87" s="975"/>
      <c r="Z87" s="975"/>
      <c r="AF87" s="293">
        <v>1950</v>
      </c>
    </row>
    <row r="88" spans="17:32" ht="15" customHeight="1">
      <c r="AF88" s="293">
        <v>1949</v>
      </c>
    </row>
    <row r="89" spans="17:32" ht="15" customHeight="1">
      <c r="AF89" s="293">
        <v>1948</v>
      </c>
    </row>
    <row r="90" spans="17:32" ht="15" customHeight="1">
      <c r="AF90" s="293">
        <v>1947</v>
      </c>
    </row>
    <row r="91" spans="17:32" ht="15" customHeight="1">
      <c r="AF91" s="293">
        <v>1946</v>
      </c>
    </row>
    <row r="92" spans="17:32" ht="15" customHeight="1">
      <c r="AF92" s="293">
        <v>1945</v>
      </c>
    </row>
    <row r="93" spans="17:32" ht="15" customHeight="1">
      <c r="AF93" s="293">
        <v>1944</v>
      </c>
    </row>
    <row r="94" spans="17:32" ht="15" customHeight="1">
      <c r="AF94" s="293">
        <v>1943</v>
      </c>
    </row>
    <row r="95" spans="17:32" ht="15" customHeight="1">
      <c r="AF95" s="293">
        <v>1942</v>
      </c>
    </row>
    <row r="96" spans="17:32" ht="15" customHeight="1">
      <c r="AF96" s="293">
        <v>1941</v>
      </c>
    </row>
    <row r="97" spans="32:32" ht="15" customHeight="1">
      <c r="AF97" s="293">
        <v>1940</v>
      </c>
    </row>
    <row r="98" spans="32:32" ht="15" customHeight="1">
      <c r="AF98" s="293">
        <v>1939</v>
      </c>
    </row>
    <row r="99" spans="32:32" ht="15" customHeight="1">
      <c r="AF99" s="293">
        <v>1938</v>
      </c>
    </row>
    <row r="100" spans="32:32" ht="15" customHeight="1">
      <c r="AF100" s="293">
        <v>1937</v>
      </c>
    </row>
    <row r="101" spans="32:32" ht="15" customHeight="1">
      <c r="AF101" s="293">
        <v>1936</v>
      </c>
    </row>
    <row r="102" spans="32:32" ht="15" customHeight="1">
      <c r="AF102" s="293">
        <v>1935</v>
      </c>
    </row>
    <row r="103" spans="32:32" ht="15" customHeight="1">
      <c r="AF103" s="293">
        <v>1934</v>
      </c>
    </row>
    <row r="104" spans="32:32" ht="15" customHeight="1">
      <c r="AF104" s="293">
        <v>1933</v>
      </c>
    </row>
    <row r="105" spans="32:32" ht="15" customHeight="1">
      <c r="AF105" s="293">
        <v>1932</v>
      </c>
    </row>
    <row r="106" spans="32:32" ht="15" customHeight="1">
      <c r="AF106" s="293">
        <v>1931</v>
      </c>
    </row>
    <row r="107" spans="32:32" ht="15" customHeight="1">
      <c r="AF107" s="293">
        <v>1930</v>
      </c>
    </row>
    <row r="108" spans="32:32" ht="15" customHeight="1">
      <c r="AF108" s="293">
        <v>1929</v>
      </c>
    </row>
    <row r="109" spans="32:32" ht="15" customHeight="1">
      <c r="AF109" s="293">
        <v>1928</v>
      </c>
    </row>
    <row r="110" spans="32:32" ht="15" customHeight="1">
      <c r="AF110" s="293">
        <v>1927</v>
      </c>
    </row>
    <row r="111" spans="32:32" ht="15" customHeight="1">
      <c r="AF111" s="293">
        <v>1926</v>
      </c>
    </row>
    <row r="112" spans="32:32" ht="15" customHeight="1">
      <c r="AF112" s="293">
        <v>1925</v>
      </c>
    </row>
    <row r="113" spans="32:32" ht="15" customHeight="1">
      <c r="AF113" s="293">
        <v>1924</v>
      </c>
    </row>
    <row r="114" spans="32:32" ht="15" customHeight="1">
      <c r="AF114" s="293">
        <v>1923</v>
      </c>
    </row>
    <row r="115" spans="32:32" ht="15" customHeight="1">
      <c r="AF115" s="293">
        <v>1922</v>
      </c>
    </row>
    <row r="116" spans="32:32" ht="15" customHeight="1">
      <c r="AF116" s="293">
        <v>1921</v>
      </c>
    </row>
    <row r="117" spans="32:32" ht="15" customHeight="1">
      <c r="AF117" s="293">
        <v>1920</v>
      </c>
    </row>
    <row r="118" spans="32:32" ht="15" customHeight="1">
      <c r="AF118" s="293">
        <v>1919</v>
      </c>
    </row>
    <row r="119" spans="32:32" ht="15" customHeight="1">
      <c r="AF119" s="293">
        <v>1918</v>
      </c>
    </row>
    <row r="120" spans="32:32" ht="15" customHeight="1">
      <c r="AF120" s="293">
        <v>1917</v>
      </c>
    </row>
    <row r="121" spans="32:32" ht="15" customHeight="1">
      <c r="AF121" s="293">
        <v>1916</v>
      </c>
    </row>
    <row r="122" spans="32:32" ht="15" customHeight="1">
      <c r="AF122" s="293">
        <v>1915</v>
      </c>
    </row>
    <row r="123" spans="32:32" ht="15" customHeight="1">
      <c r="AF123" s="293">
        <v>1914</v>
      </c>
    </row>
    <row r="124" spans="32:32" ht="15" customHeight="1">
      <c r="AF124" s="293">
        <v>1913</v>
      </c>
    </row>
    <row r="125" spans="32:32" ht="15" customHeight="1">
      <c r="AF125" s="293">
        <v>1912</v>
      </c>
    </row>
    <row r="126" spans="32:32" ht="15" customHeight="1">
      <c r="AF126" s="293">
        <v>1911</v>
      </c>
    </row>
    <row r="127" spans="32:32" ht="15" customHeight="1">
      <c r="AF127" s="293">
        <v>1910</v>
      </c>
    </row>
    <row r="128" spans="32:32" ht="15" customHeight="1">
      <c r="AF128" s="293">
        <v>1909</v>
      </c>
    </row>
    <row r="129" spans="32:32" ht="15" customHeight="1">
      <c r="AF129" s="293">
        <v>1908</v>
      </c>
    </row>
    <row r="130" spans="32:32" ht="15" customHeight="1">
      <c r="AF130" s="293">
        <v>1907</v>
      </c>
    </row>
    <row r="131" spans="32:32" ht="15" customHeight="1">
      <c r="AF131" s="293">
        <v>1906</v>
      </c>
    </row>
    <row r="132" spans="32:32" ht="15" customHeight="1">
      <c r="AF132" s="293">
        <v>1905</v>
      </c>
    </row>
    <row r="133" spans="32:32" ht="15" customHeight="1">
      <c r="AF133" s="293">
        <v>1904</v>
      </c>
    </row>
    <row r="134" spans="32:32" ht="15" customHeight="1">
      <c r="AF134" s="293">
        <v>1903</v>
      </c>
    </row>
    <row r="135" spans="32:32" ht="15" customHeight="1">
      <c r="AF135" s="293">
        <v>1902</v>
      </c>
    </row>
    <row r="136" spans="32:32" ht="15" customHeight="1">
      <c r="AF136" s="293">
        <v>1901</v>
      </c>
    </row>
    <row r="137" spans="32:32" ht="15" customHeight="1">
      <c r="AF137" s="293">
        <v>1900</v>
      </c>
    </row>
    <row r="138" spans="32:32" ht="15" customHeight="1">
      <c r="AF138" s="293">
        <v>1899</v>
      </c>
    </row>
    <row r="139" spans="32:32" ht="15" customHeight="1">
      <c r="AF139" s="293">
        <v>1898</v>
      </c>
    </row>
    <row r="140" spans="32:32" ht="15" customHeight="1">
      <c r="AF140" s="293">
        <v>1897</v>
      </c>
    </row>
    <row r="141" spans="32:32" ht="15" customHeight="1">
      <c r="AF141" s="293">
        <v>1896</v>
      </c>
    </row>
    <row r="142" spans="32:32" ht="15" customHeight="1">
      <c r="AF142" s="293">
        <v>1895</v>
      </c>
    </row>
    <row r="143" spans="32:32" ht="15" customHeight="1">
      <c r="AF143" s="293">
        <v>1894</v>
      </c>
    </row>
    <row r="144" spans="32:32" ht="15" customHeight="1">
      <c r="AF144" s="293">
        <v>1893</v>
      </c>
    </row>
    <row r="145" spans="32:32" ht="15" customHeight="1">
      <c r="AF145" s="293">
        <v>1892</v>
      </c>
    </row>
    <row r="146" spans="32:32" ht="15" customHeight="1">
      <c r="AF146" s="293">
        <v>1891</v>
      </c>
    </row>
    <row r="147" spans="32:32" ht="15" customHeight="1">
      <c r="AF147" s="293">
        <v>1890</v>
      </c>
    </row>
    <row r="148" spans="32:32" ht="15" customHeight="1">
      <c r="AF148" s="293">
        <v>1889</v>
      </c>
    </row>
    <row r="149" spans="32:32" ht="15" customHeight="1">
      <c r="AF149" s="293">
        <v>1888</v>
      </c>
    </row>
    <row r="150" spans="32:32" ht="15" customHeight="1">
      <c r="AF150" s="293">
        <v>1887</v>
      </c>
    </row>
    <row r="151" spans="32:32" ht="15" customHeight="1">
      <c r="AF151" s="293">
        <v>1886</v>
      </c>
    </row>
    <row r="152" spans="32:32" ht="15" customHeight="1">
      <c r="AF152" s="293">
        <v>1885</v>
      </c>
    </row>
    <row r="153" spans="32:32" ht="15" customHeight="1">
      <c r="AF153" s="293">
        <v>1884</v>
      </c>
    </row>
    <row r="154" spans="32:32" ht="15" customHeight="1">
      <c r="AF154" s="293">
        <v>1883</v>
      </c>
    </row>
    <row r="155" spans="32:32" ht="15" customHeight="1">
      <c r="AF155" s="293">
        <v>1882</v>
      </c>
    </row>
    <row r="156" spans="32:32" ht="15" customHeight="1">
      <c r="AF156" s="293">
        <v>1881</v>
      </c>
    </row>
    <row r="157" spans="32:32" ht="15" customHeight="1">
      <c r="AF157" s="293">
        <v>1880</v>
      </c>
    </row>
    <row r="158" spans="32:32" ht="15" customHeight="1">
      <c r="AF158" s="293">
        <v>1879</v>
      </c>
    </row>
    <row r="159" spans="32:32" ht="15" customHeight="1">
      <c r="AF159" s="293">
        <v>1878</v>
      </c>
    </row>
    <row r="160" spans="32:32" ht="15" customHeight="1">
      <c r="AF160" s="293">
        <v>1877</v>
      </c>
    </row>
    <row r="161" spans="32:32" ht="15" customHeight="1">
      <c r="AF161" s="293">
        <v>1876</v>
      </c>
    </row>
    <row r="162" spans="32:32" ht="15" customHeight="1">
      <c r="AF162" s="293">
        <v>1875</v>
      </c>
    </row>
    <row r="163" spans="32:32" ht="15" customHeight="1">
      <c r="AF163" s="293">
        <v>1874</v>
      </c>
    </row>
    <row r="164" spans="32:32" ht="15" customHeight="1">
      <c r="AF164" s="293">
        <v>1873</v>
      </c>
    </row>
    <row r="165" spans="32:32" ht="15" customHeight="1">
      <c r="AF165" s="293">
        <v>1872</v>
      </c>
    </row>
    <row r="166" spans="32:32" ht="15" customHeight="1">
      <c r="AF166" s="293">
        <v>1871</v>
      </c>
    </row>
    <row r="167" spans="32:32" ht="15" customHeight="1">
      <c r="AF167" s="293">
        <v>1870</v>
      </c>
    </row>
    <row r="168" spans="32:32" ht="15" customHeight="1">
      <c r="AF168" s="293">
        <v>1869</v>
      </c>
    </row>
    <row r="169" spans="32:32" ht="15" customHeight="1">
      <c r="AF169" s="293">
        <v>1868</v>
      </c>
    </row>
    <row r="170" spans="32:32" ht="15" customHeight="1">
      <c r="AF170" s="293">
        <v>1867</v>
      </c>
    </row>
    <row r="171" spans="32:32" ht="15" customHeight="1">
      <c r="AF171" s="293">
        <v>1866</v>
      </c>
    </row>
    <row r="172" spans="32:32" ht="15" customHeight="1">
      <c r="AF172" s="293">
        <v>1865</v>
      </c>
    </row>
    <row r="173" spans="32:32" ht="15" customHeight="1">
      <c r="AF173" s="293">
        <v>1864</v>
      </c>
    </row>
    <row r="174" spans="32:32" ht="15" customHeight="1">
      <c r="AF174" s="293">
        <v>1863</v>
      </c>
    </row>
  </sheetData>
  <sheetProtection algorithmName="SHA-512" hashValue="ywGuhlfTjEnQBZXFVB6aE5NfyJP3CplAMP4TWLzLGiKHElBQZclxfRZoZkyPOVEQCpId0LpN4vYpkS9ztTuRJQ==" saltValue="3o3cxy63iwEh+XhAJZvsDQ==" spinCount="100000" sheet="1" objects="1" scenarios="1"/>
  <dataConsolidate/>
  <mergeCells count="82">
    <mergeCell ref="R40:AA42"/>
    <mergeCell ref="R44:AA45"/>
    <mergeCell ref="R48:AA48"/>
    <mergeCell ref="R50:AA50"/>
    <mergeCell ref="Q34:AA34"/>
    <mergeCell ref="R36:AA36"/>
    <mergeCell ref="R38:AA38"/>
    <mergeCell ref="Q37:Z37"/>
    <mergeCell ref="D69:O69"/>
    <mergeCell ref="C65:N65"/>
    <mergeCell ref="C62:O62"/>
    <mergeCell ref="C63:O63"/>
    <mergeCell ref="D67:N67"/>
    <mergeCell ref="C60:N60"/>
    <mergeCell ref="D70:O70"/>
    <mergeCell ref="C38:D38"/>
    <mergeCell ref="C40:D40"/>
    <mergeCell ref="C56:O56"/>
    <mergeCell ref="C42:N42"/>
    <mergeCell ref="C51:O51"/>
    <mergeCell ref="C52:O52"/>
    <mergeCell ref="C54:N54"/>
    <mergeCell ref="C48:N48"/>
    <mergeCell ref="C50:O50"/>
    <mergeCell ref="E40:G40"/>
    <mergeCell ref="E38:G38"/>
    <mergeCell ref="C45:O45"/>
    <mergeCell ref="C46:O46"/>
    <mergeCell ref="C44:O44"/>
    <mergeCell ref="C58:O58"/>
    <mergeCell ref="C57:O57"/>
    <mergeCell ref="D16:N16"/>
    <mergeCell ref="I30:J30"/>
    <mergeCell ref="I32:J32"/>
    <mergeCell ref="I34:J34"/>
    <mergeCell ref="C30:D30"/>
    <mergeCell ref="C32:D32"/>
    <mergeCell ref="C34:D34"/>
    <mergeCell ref="I36:J36"/>
    <mergeCell ref="I38:J38"/>
    <mergeCell ref="I40:J40"/>
    <mergeCell ref="M30:N30"/>
    <mergeCell ref="M32:N32"/>
    <mergeCell ref="M34:N34"/>
    <mergeCell ref="M36:N36"/>
    <mergeCell ref="B3:O3"/>
    <mergeCell ref="C28:O28"/>
    <mergeCell ref="D22:N22"/>
    <mergeCell ref="P1:S4"/>
    <mergeCell ref="D26:N26"/>
    <mergeCell ref="D18:N18"/>
    <mergeCell ref="D20:O20"/>
    <mergeCell ref="D14:I14"/>
    <mergeCell ref="K14:L14"/>
    <mergeCell ref="D24:N24"/>
    <mergeCell ref="R14:AA14"/>
    <mergeCell ref="R16:AA16"/>
    <mergeCell ref="D11:N11"/>
    <mergeCell ref="D12:O12"/>
    <mergeCell ref="D7:L7"/>
    <mergeCell ref="M7:O7"/>
    <mergeCell ref="C36:D36"/>
    <mergeCell ref="E30:G30"/>
    <mergeCell ref="E32:G32"/>
    <mergeCell ref="E34:G34"/>
    <mergeCell ref="E36:G36"/>
    <mergeCell ref="R32:AA32"/>
    <mergeCell ref="R39:Z39"/>
    <mergeCell ref="C5:O5"/>
    <mergeCell ref="Q5:AA8"/>
    <mergeCell ref="R9:AA9"/>
    <mergeCell ref="R12:AA12"/>
    <mergeCell ref="R11:AA11"/>
    <mergeCell ref="R18:AA18"/>
    <mergeCell ref="R20:AA20"/>
    <mergeCell ref="R22:AA22"/>
    <mergeCell ref="R24:AA24"/>
    <mergeCell ref="R26:AA26"/>
    <mergeCell ref="R28:AA28"/>
    <mergeCell ref="R30:AA30"/>
    <mergeCell ref="M38:N38"/>
    <mergeCell ref="D9:N9"/>
  </mergeCells>
  <dataValidations count="4">
    <dataValidation type="list" allowBlank="1" showInputMessage="1" showErrorMessage="1" sqref="L30 H30 H32 O65 O42 O60 O48 O54 C30:D30 C32:D32 C34:D34 C36:D36 C38:D38 C40:D40 H34 L32 L34 L36 H40 H36 H38 L38 O11 J14 M14 O18 O24 O26" xr:uid="{00000000-0002-0000-2300-000000000000}">
      <formula1>$AE$3:$AE$4</formula1>
    </dataValidation>
    <dataValidation type="list" allowBlank="1" showInputMessage="1" showErrorMessage="1" sqref="O67" xr:uid="{00000000-0002-0000-2300-000001000000}">
      <formula1>$AF$3:$AF$5</formula1>
    </dataValidation>
    <dataValidation type="list" errorStyle="warning" showInputMessage="1" showErrorMessage="1" errorTitle="SmartDox" error="The value you entered for the dropdown is not valid." sqref="M7 AD7" xr:uid="{00000000-0002-0000-2300-000002000000}">
      <formula1>SD_D_PL_SiteControlType_Name</formula1>
    </dataValidation>
    <dataValidation type="list" allowBlank="1" showInputMessage="1" showErrorMessage="1" sqref="O22" xr:uid="{00000000-0002-0000-2300-000003000000}">
      <formula1>$AF$18:$AF$174</formula1>
    </dataValidation>
  </dataValidations>
  <hyperlinks>
    <hyperlink ref="R50:AA50" r:id="rId1" display="Click here for the WVHDF Relocation Handbook for additional information." xr:uid="{880F09B4-0B9C-41B5-A90D-27ACFDA4A1B5}"/>
  </hyperlinks>
  <pageMargins left="0.75" right="0.5" top="0.5" bottom="0.75" header="0" footer="0.5"/>
  <pageSetup scale="80" firstPageNumber="15" orientation="portrait" r:id="rId2"/>
  <headerFooter alignWithMargins="0">
    <oddFooter>&amp;C&amp;A&amp;R&amp;D &amp;T</oddFooter>
  </headerFooter>
  <drawing r:id="rId3"/>
  <legacyDrawing r:id="rId4"/>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3">
    <pageSetUpPr fitToPage="1"/>
  </sheetPr>
  <dimension ref="A1:Y67"/>
  <sheetViews>
    <sheetView workbookViewId="0"/>
  </sheetViews>
  <sheetFormatPr defaultColWidth="10.7109375" defaultRowHeight="12.75"/>
  <cols>
    <col min="1" max="1" width="5.85546875" style="4" bestFit="1" customWidth="1"/>
    <col min="2" max="2" width="2.7109375" style="85" customWidth="1"/>
    <col min="3" max="6" width="2.7109375" style="4" customWidth="1"/>
    <col min="7" max="7" width="5.7109375" style="4" customWidth="1"/>
    <col min="8" max="8" width="2.7109375" style="4" customWidth="1"/>
    <col min="9" max="9" width="4.7109375" style="4" customWidth="1"/>
    <col min="10" max="10" width="2.7109375" style="4" customWidth="1"/>
    <col min="11" max="11" width="4.7109375" style="4" customWidth="1"/>
    <col min="12" max="12" width="2.7109375" style="37" customWidth="1"/>
    <col min="13" max="13" width="10.7109375" style="4" customWidth="1"/>
    <col min="14" max="14" width="11.7109375" style="4" customWidth="1"/>
    <col min="15" max="15" width="1.7109375" style="39" customWidth="1"/>
    <col min="16" max="17" width="11.7109375" style="4" customWidth="1"/>
    <col min="18" max="18" width="1.7109375" style="4" customWidth="1"/>
    <col min="19" max="20" width="12.7109375" style="4" customWidth="1"/>
    <col min="21" max="21" width="10.7109375" style="4" customWidth="1"/>
    <col min="22" max="22" width="5.7109375" style="6" customWidth="1"/>
    <col min="23" max="24" width="10.7109375" style="4" hidden="1" customWidth="1"/>
    <col min="25" max="25" width="5.7109375" style="6" customWidth="1"/>
    <col min="26" max="16384" width="10.7109375" style="4"/>
  </cols>
  <sheetData>
    <row r="1" spans="1:25" s="814" customFormat="1">
      <c r="A1" s="1302" t="str">
        <f>IF('FORM 1040-1'!D15="","",'FORM 1040-1'!D15)</f>
        <v/>
      </c>
      <c r="B1" s="1305"/>
      <c r="C1" s="1303"/>
      <c r="D1" s="1303"/>
      <c r="E1" s="1303"/>
      <c r="F1" s="1303"/>
      <c r="G1" s="1303"/>
      <c r="H1" s="1303"/>
      <c r="I1" s="1303"/>
      <c r="J1" s="1303"/>
      <c r="K1" s="1303"/>
      <c r="L1" s="1307"/>
      <c r="M1" s="1303"/>
      <c r="N1" s="1303"/>
      <c r="O1" s="1303"/>
      <c r="P1" s="1303"/>
      <c r="Q1" s="1303"/>
      <c r="R1" s="1303"/>
      <c r="S1" s="1303"/>
      <c r="T1" s="1294" t="str">
        <f>IF('FORM 1040-1'!$E$12="","",'FORM 1040-1'!$E$12)</f>
        <v/>
      </c>
      <c r="V1" s="6"/>
      <c r="Y1" s="6"/>
    </row>
    <row r="2" spans="1:25" s="814" customFormat="1" ht="12.75" customHeight="1">
      <c r="B2" s="85"/>
      <c r="L2" s="804"/>
      <c r="O2" s="39"/>
      <c r="V2" s="6"/>
      <c r="Y2" s="6"/>
    </row>
    <row r="3" spans="1:25" ht="15" customHeight="1">
      <c r="A3" s="12" t="s">
        <v>829</v>
      </c>
      <c r="B3" s="1694" t="s">
        <v>311</v>
      </c>
      <c r="C3" s="1694"/>
      <c r="D3" s="1694"/>
      <c r="E3" s="1694"/>
      <c r="F3" s="1694"/>
      <c r="G3" s="1694"/>
      <c r="H3" s="1694"/>
      <c r="I3" s="1694"/>
      <c r="J3" s="1694"/>
      <c r="K3" s="1694"/>
      <c r="L3" s="1694"/>
      <c r="M3" s="1694"/>
      <c r="N3" s="1694"/>
      <c r="O3" s="1694"/>
      <c r="P3" s="1694"/>
      <c r="Q3" s="1694"/>
      <c r="R3" s="37"/>
      <c r="S3" s="40"/>
      <c r="W3" s="22" t="b">
        <v>1</v>
      </c>
      <c r="X3" s="22" t="b">
        <v>1</v>
      </c>
    </row>
    <row r="4" spans="1:25" ht="12" customHeight="1">
      <c r="B4" s="202"/>
      <c r="C4" s="202"/>
      <c r="D4" s="202"/>
      <c r="E4" s="202"/>
      <c r="F4" s="202"/>
      <c r="G4" s="202"/>
      <c r="H4" s="202"/>
      <c r="I4" s="202"/>
      <c r="J4" s="202"/>
      <c r="K4" s="202"/>
      <c r="L4" s="202"/>
      <c r="M4" s="202"/>
      <c r="N4" s="202"/>
      <c r="O4" s="271"/>
      <c r="P4" s="202"/>
      <c r="Q4" s="202"/>
      <c r="R4" s="202"/>
      <c r="S4" s="40"/>
      <c r="W4" s="22" t="b">
        <v>0</v>
      </c>
      <c r="X4" s="22" t="b">
        <v>0</v>
      </c>
    </row>
    <row r="5" spans="1:25" ht="12.95" customHeight="1">
      <c r="B5" s="1593" t="s">
        <v>2745</v>
      </c>
      <c r="C5" s="1593"/>
      <c r="D5" s="1593"/>
      <c r="E5" s="1593"/>
      <c r="F5" s="1593"/>
      <c r="G5" s="1593"/>
      <c r="H5" s="1593"/>
      <c r="I5" s="1593"/>
      <c r="J5" s="1593"/>
      <c r="K5" s="1593"/>
      <c r="L5" s="1593"/>
      <c r="M5" s="1593"/>
      <c r="N5" s="1593"/>
      <c r="O5" s="1593"/>
      <c r="P5" s="1593"/>
      <c r="Q5" s="1593"/>
      <c r="R5" s="1593"/>
      <c r="S5" s="1593"/>
      <c r="T5" s="1593"/>
      <c r="X5" s="293" t="s">
        <v>312</v>
      </c>
    </row>
    <row r="6" spans="1:25" ht="6" customHeight="1">
      <c r="B6" s="202"/>
      <c r="C6" s="202"/>
      <c r="D6" s="202"/>
      <c r="E6" s="202"/>
      <c r="F6" s="202"/>
      <c r="G6" s="202"/>
      <c r="H6" s="202"/>
      <c r="I6" s="202"/>
      <c r="J6" s="202"/>
      <c r="K6" s="202"/>
      <c r="L6" s="202"/>
      <c r="M6" s="202"/>
      <c r="N6" s="202"/>
      <c r="O6" s="271"/>
      <c r="P6" s="202"/>
      <c r="Q6" s="202"/>
      <c r="R6" s="202"/>
      <c r="S6" s="40"/>
    </row>
    <row r="7" spans="1:25" ht="15" customHeight="1" thickBot="1">
      <c r="B7" s="202"/>
      <c r="C7" s="1593" t="s">
        <v>2741</v>
      </c>
      <c r="D7" s="1593"/>
      <c r="E7" s="1593"/>
      <c r="F7" s="1593"/>
      <c r="G7" s="1593"/>
      <c r="H7" s="1593"/>
      <c r="I7" s="1593"/>
      <c r="J7" s="1593"/>
      <c r="K7" s="1593"/>
      <c r="L7" s="1593"/>
      <c r="M7" s="1593"/>
      <c r="N7" s="1593"/>
      <c r="O7" s="1593"/>
      <c r="P7" s="1593"/>
      <c r="Q7" s="1593"/>
      <c r="R7" s="1593"/>
      <c r="S7" s="1593"/>
      <c r="T7" s="438"/>
    </row>
    <row r="8" spans="1:25" ht="12" customHeight="1" thickTop="1">
      <c r="B8" s="202"/>
      <c r="C8" s="447"/>
      <c r="D8" s="447"/>
      <c r="E8" s="447"/>
      <c r="F8" s="447"/>
      <c r="G8" s="447"/>
      <c r="H8" s="447"/>
      <c r="I8" s="447"/>
      <c r="J8" s="447"/>
      <c r="K8" s="447"/>
      <c r="L8" s="447"/>
      <c r="M8" s="447"/>
      <c r="N8" s="447"/>
      <c r="O8" s="523"/>
      <c r="P8" s="447"/>
      <c r="Q8" s="447"/>
      <c r="R8" s="447"/>
      <c r="S8" s="447"/>
      <c r="T8" s="447"/>
    </row>
    <row r="9" spans="1:25" s="1515" customFormat="1" ht="12.95" customHeight="1">
      <c r="B9" s="1593" t="s">
        <v>2742</v>
      </c>
      <c r="C9" s="1593"/>
      <c r="D9" s="1593"/>
      <c r="E9" s="1593"/>
      <c r="F9" s="1593"/>
      <c r="G9" s="1593"/>
      <c r="H9" s="1593"/>
      <c r="I9" s="1593"/>
      <c r="J9" s="1593"/>
      <c r="K9" s="1593"/>
      <c r="L9" s="1593"/>
      <c r="M9" s="1593"/>
      <c r="N9" s="1593"/>
      <c r="O9" s="1593"/>
      <c r="P9" s="1593"/>
      <c r="Q9" s="1593"/>
      <c r="R9" s="1593"/>
      <c r="S9" s="1593"/>
      <c r="T9" s="1593"/>
      <c r="V9" s="6"/>
      <c r="Y9" s="6"/>
    </row>
    <row r="10" spans="1:25" s="1515" customFormat="1" ht="6" customHeight="1">
      <c r="B10" s="1518"/>
      <c r="C10" s="1518"/>
      <c r="D10" s="1518"/>
      <c r="E10" s="1518"/>
      <c r="F10" s="1518"/>
      <c r="G10" s="1518"/>
      <c r="H10" s="1518"/>
      <c r="I10" s="1518"/>
      <c r="J10" s="1518"/>
      <c r="K10" s="1518"/>
      <c r="L10" s="1518"/>
      <c r="M10" s="1518"/>
      <c r="N10" s="1518"/>
      <c r="O10" s="1525"/>
      <c r="P10" s="1518"/>
      <c r="Q10" s="1518"/>
      <c r="R10" s="1518"/>
      <c r="S10" s="40"/>
      <c r="V10" s="6"/>
      <c r="Y10" s="6"/>
    </row>
    <row r="11" spans="1:25" s="1515" customFormat="1" ht="15" customHeight="1" thickBot="1">
      <c r="B11" s="1518"/>
      <c r="C11" s="1593" t="s">
        <v>284</v>
      </c>
      <c r="D11" s="1593"/>
      <c r="E11" s="1593"/>
      <c r="F11" s="1593"/>
      <c r="G11" s="1593"/>
      <c r="H11" s="1593"/>
      <c r="I11" s="1593"/>
      <c r="J11" s="1593"/>
      <c r="K11" s="1593"/>
      <c r="L11" s="1593"/>
      <c r="M11" s="1593"/>
      <c r="N11" s="1593"/>
      <c r="O11" s="1593"/>
      <c r="P11" s="1593"/>
      <c r="Q11" s="1593"/>
      <c r="R11" s="1593"/>
      <c r="S11" s="1593"/>
      <c r="T11" s="438"/>
      <c r="V11" s="6"/>
      <c r="Y11" s="6"/>
    </row>
    <row r="12" spans="1:25" s="1515" customFormat="1" ht="12" customHeight="1" thickTop="1">
      <c r="B12" s="1518"/>
      <c r="C12" s="1513"/>
      <c r="D12" s="1513"/>
      <c r="E12" s="1513"/>
      <c r="F12" s="1513"/>
      <c r="G12" s="1513"/>
      <c r="H12" s="1513"/>
      <c r="I12" s="1513"/>
      <c r="J12" s="1513"/>
      <c r="K12" s="1513"/>
      <c r="L12" s="1513"/>
      <c r="M12" s="1513"/>
      <c r="N12" s="1513"/>
      <c r="O12" s="1526"/>
      <c r="P12" s="1513"/>
      <c r="Q12" s="1513"/>
      <c r="R12" s="1513"/>
      <c r="S12" s="1513"/>
      <c r="T12" s="1513"/>
      <c r="V12" s="6"/>
      <c r="Y12" s="6"/>
    </row>
    <row r="13" spans="1:25" ht="15" customHeight="1" thickBot="1">
      <c r="A13" s="12"/>
      <c r="B13" s="85" t="s">
        <v>53</v>
      </c>
      <c r="C13" s="1593" t="s">
        <v>1470</v>
      </c>
      <c r="D13" s="1593"/>
      <c r="E13" s="1593"/>
      <c r="F13" s="1593"/>
      <c r="G13" s="1593"/>
      <c r="H13" s="1593"/>
      <c r="I13" s="1593"/>
      <c r="J13" s="1593"/>
      <c r="K13" s="1593"/>
      <c r="L13" s="1593"/>
      <c r="M13" s="1593"/>
      <c r="N13" s="1593"/>
      <c r="O13" s="1593"/>
      <c r="P13" s="1593"/>
      <c r="Q13" s="1593"/>
      <c r="R13" s="1593"/>
      <c r="S13" s="1593"/>
      <c r="T13" s="438"/>
    </row>
    <row r="14" spans="1:25" ht="6" customHeight="1" thickTop="1">
      <c r="A14" s="12"/>
      <c r="C14" s="37"/>
      <c r="D14" s="37"/>
      <c r="E14" s="37"/>
      <c r="F14" s="37"/>
      <c r="G14" s="37"/>
      <c r="H14" s="37"/>
      <c r="I14" s="37"/>
      <c r="J14" s="37"/>
      <c r="K14" s="37"/>
      <c r="M14" s="37"/>
      <c r="N14" s="37"/>
      <c r="O14" s="437"/>
      <c r="P14" s="37"/>
      <c r="Q14" s="37"/>
      <c r="R14" s="37"/>
      <c r="S14" s="37"/>
    </row>
    <row r="15" spans="1:25" ht="12.6" customHeight="1">
      <c r="C15" s="2197" t="s">
        <v>2740</v>
      </c>
      <c r="D15" s="2197"/>
      <c r="E15" s="2197"/>
      <c r="F15" s="2197"/>
      <c r="G15" s="2197"/>
      <c r="H15" s="2197"/>
      <c r="I15" s="2197"/>
      <c r="J15" s="2197"/>
      <c r="K15" s="2197"/>
      <c r="L15" s="2197"/>
      <c r="M15" s="2197"/>
      <c r="N15" s="2197"/>
      <c r="O15" s="2197"/>
      <c r="P15" s="2197"/>
      <c r="Q15" s="2197"/>
      <c r="R15" s="2197"/>
      <c r="S15" s="2197"/>
      <c r="T15" s="2197"/>
    </row>
    <row r="16" spans="1:25" ht="12" customHeight="1">
      <c r="C16" s="202"/>
      <c r="D16" s="202"/>
      <c r="E16" s="202"/>
      <c r="F16" s="202"/>
      <c r="G16" s="202"/>
      <c r="H16" s="202"/>
      <c r="I16" s="202"/>
      <c r="J16" s="202"/>
      <c r="K16" s="202"/>
    </row>
    <row r="17" spans="1:25" ht="15" customHeight="1">
      <c r="B17" s="85" t="s">
        <v>54</v>
      </c>
      <c r="C17" s="1694" t="s">
        <v>139</v>
      </c>
      <c r="D17" s="1694"/>
      <c r="E17" s="1694"/>
      <c r="F17" s="1694"/>
      <c r="G17" s="1694"/>
      <c r="H17" s="1694"/>
      <c r="I17" s="1694"/>
      <c r="J17" s="1694"/>
      <c r="K17" s="1694"/>
      <c r="L17" s="1694"/>
      <c r="M17" s="1694"/>
      <c r="N17" s="1694"/>
      <c r="O17" s="1694"/>
      <c r="P17" s="1694"/>
      <c r="Q17" s="1694"/>
      <c r="R17" s="37"/>
    </row>
    <row r="18" spans="1:25" ht="6" customHeight="1">
      <c r="B18" s="202"/>
      <c r="C18" s="202"/>
      <c r="D18" s="26"/>
      <c r="F18" s="202"/>
      <c r="G18" s="202"/>
      <c r="H18" s="202"/>
      <c r="I18" s="202"/>
      <c r="J18" s="202"/>
      <c r="K18" s="202"/>
      <c r="L18" s="202"/>
      <c r="M18" s="202"/>
      <c r="N18" s="202"/>
      <c r="O18" s="271"/>
      <c r="P18" s="202"/>
      <c r="Q18" s="202"/>
      <c r="R18" s="202"/>
      <c r="S18" s="40"/>
    </row>
    <row r="19" spans="1:25" s="1515" customFormat="1" ht="15" customHeight="1">
      <c r="C19" s="1694" t="s">
        <v>2746</v>
      </c>
      <c r="D19" s="1694"/>
      <c r="E19" s="1694"/>
      <c r="F19" s="1694"/>
      <c r="G19" s="1694"/>
      <c r="H19" s="1694"/>
      <c r="I19" s="1694"/>
      <c r="J19" s="1694"/>
      <c r="K19" s="1694"/>
      <c r="L19" s="1694"/>
      <c r="M19" s="1694"/>
      <c r="N19" s="1694"/>
      <c r="O19" s="1694"/>
      <c r="P19" s="1694"/>
      <c r="Q19" s="1694"/>
      <c r="R19" s="1694"/>
      <c r="S19" s="1694"/>
      <c r="T19" s="1694"/>
      <c r="V19" s="6"/>
      <c r="Y19" s="6"/>
    </row>
    <row r="20" spans="1:25" s="1515" customFormat="1" ht="6" customHeight="1">
      <c r="B20" s="1518"/>
      <c r="C20" s="1518"/>
      <c r="D20" s="981"/>
      <c r="F20" s="1518"/>
      <c r="G20" s="1518"/>
      <c r="H20" s="1518"/>
      <c r="I20" s="1518"/>
      <c r="J20" s="1518"/>
      <c r="K20" s="1518"/>
      <c r="L20" s="1518"/>
      <c r="M20" s="1518"/>
      <c r="N20" s="1518"/>
      <c r="O20" s="1525"/>
      <c r="P20" s="1518"/>
      <c r="Q20" s="1518"/>
      <c r="R20" s="1518"/>
      <c r="S20" s="40"/>
      <c r="V20" s="6"/>
      <c r="Y20" s="6"/>
    </row>
    <row r="21" spans="1:25" ht="15" customHeight="1" thickBot="1">
      <c r="B21" s="202"/>
      <c r="C21" s="1528"/>
      <c r="D21" s="2095" t="s">
        <v>336</v>
      </c>
      <c r="E21" s="2095"/>
      <c r="F21" s="2095"/>
      <c r="G21" s="2095"/>
      <c r="H21" s="2095"/>
      <c r="I21" s="2095"/>
      <c r="J21" s="2095"/>
      <c r="K21" s="2095"/>
      <c r="L21" s="2095"/>
      <c r="M21" s="2095"/>
      <c r="N21" s="2095"/>
      <c r="O21" s="2095"/>
      <c r="P21" s="2095"/>
      <c r="Q21" s="2095"/>
      <c r="R21" s="2095"/>
      <c r="S21" s="2095"/>
      <c r="T21" s="438"/>
    </row>
    <row r="22" spans="1:25" ht="6" customHeight="1" thickTop="1">
      <c r="B22" s="202"/>
      <c r="C22" s="445"/>
      <c r="D22" s="1514"/>
      <c r="F22" s="445"/>
      <c r="G22" s="445"/>
      <c r="H22" s="445"/>
      <c r="I22" s="445"/>
      <c r="J22" s="445"/>
      <c r="K22" s="445"/>
      <c r="L22" s="445"/>
      <c r="M22" s="445"/>
      <c r="N22" s="445"/>
      <c r="O22" s="522"/>
      <c r="P22" s="445"/>
      <c r="Q22" s="445"/>
      <c r="R22" s="445"/>
      <c r="S22" s="40"/>
    </row>
    <row r="23" spans="1:25" ht="15" customHeight="1" thickBot="1">
      <c r="B23" s="202"/>
      <c r="C23" s="1528"/>
      <c r="D23" s="1668" t="s">
        <v>2197</v>
      </c>
      <c r="E23" s="1668"/>
      <c r="F23" s="1668"/>
      <c r="G23" s="1668"/>
      <c r="H23" s="1668"/>
      <c r="I23" s="1668"/>
      <c r="J23" s="1668"/>
      <c r="K23" s="1668"/>
      <c r="L23" s="1668"/>
      <c r="M23" s="1668"/>
      <c r="N23" s="1668"/>
      <c r="O23" s="1668"/>
      <c r="P23" s="1668"/>
      <c r="Q23" s="1668"/>
      <c r="R23" s="1668"/>
      <c r="S23" s="1668"/>
      <c r="T23" s="438"/>
    </row>
    <row r="24" spans="1:25" ht="6" customHeight="1" thickTop="1" thickBot="1">
      <c r="C24" s="37"/>
      <c r="D24" s="37"/>
      <c r="E24" s="37"/>
      <c r="F24" s="37"/>
      <c r="G24" s="37"/>
      <c r="H24" s="37"/>
      <c r="I24" s="37"/>
      <c r="J24" s="37"/>
      <c r="K24" s="37"/>
      <c r="M24" s="37"/>
      <c r="N24" s="37"/>
      <c r="O24" s="437"/>
      <c r="P24" s="37"/>
      <c r="Q24" s="37"/>
      <c r="R24" s="37"/>
    </row>
    <row r="25" spans="1:25" ht="15" customHeight="1" thickTop="1" thickBot="1">
      <c r="A25" s="12"/>
      <c r="B25" s="12"/>
      <c r="C25" s="524">
        <v>1</v>
      </c>
      <c r="D25" s="1593" t="s">
        <v>1507</v>
      </c>
      <c r="E25" s="1593"/>
      <c r="F25" s="1593"/>
      <c r="G25" s="1593"/>
      <c r="H25" s="1593"/>
      <c r="I25" s="1593"/>
      <c r="J25" s="1593"/>
      <c r="K25" s="1593"/>
      <c r="L25" s="1593"/>
      <c r="M25" s="1593"/>
      <c r="N25" s="1593"/>
      <c r="O25" s="1593"/>
      <c r="P25" s="1593"/>
      <c r="Q25" s="1593"/>
      <c r="R25" s="1593"/>
      <c r="S25" s="1593"/>
      <c r="T25" s="237"/>
    </row>
    <row r="26" spans="1:25" ht="6" customHeight="1" thickTop="1" thickBot="1">
      <c r="B26" s="202"/>
      <c r="C26" s="37"/>
      <c r="D26" s="202"/>
      <c r="E26" s="202"/>
      <c r="F26" s="202"/>
      <c r="G26" s="202"/>
      <c r="H26" s="202"/>
      <c r="I26" s="202"/>
      <c r="J26" s="21"/>
      <c r="K26" s="21"/>
      <c r="L26" s="21"/>
      <c r="M26" s="21"/>
      <c r="N26" s="21"/>
      <c r="O26" s="283"/>
      <c r="P26" s="21"/>
      <c r="Q26" s="21"/>
      <c r="R26" s="21"/>
      <c r="S26" s="21"/>
      <c r="T26" s="40"/>
    </row>
    <row r="27" spans="1:25" ht="15" customHeight="1" thickTop="1" thickBot="1">
      <c r="B27" s="202"/>
      <c r="C27" s="524">
        <v>2</v>
      </c>
      <c r="D27" s="1593" t="s">
        <v>2198</v>
      </c>
      <c r="E27" s="1951"/>
      <c r="F27" s="1951"/>
      <c r="G27" s="1951"/>
      <c r="H27" s="1951"/>
      <c r="I27" s="1951"/>
      <c r="J27" s="1951"/>
      <c r="K27" s="1951"/>
      <c r="L27" s="1951"/>
      <c r="M27" s="1951"/>
      <c r="N27" s="1951"/>
      <c r="O27" s="1951"/>
      <c r="P27" s="1951"/>
      <c r="Q27" s="1951"/>
      <c r="R27" s="1951"/>
      <c r="S27" s="1951"/>
      <c r="T27" s="237"/>
    </row>
    <row r="28" spans="1:25" ht="6" customHeight="1" thickTop="1" thickBot="1">
      <c r="B28" s="202"/>
      <c r="C28" s="202"/>
      <c r="D28" s="202"/>
      <c r="E28" s="202"/>
      <c r="F28" s="202"/>
      <c r="G28" s="202"/>
      <c r="H28" s="202"/>
      <c r="I28" s="202"/>
      <c r="J28" s="21"/>
      <c r="K28" s="21"/>
      <c r="L28" s="21"/>
      <c r="M28" s="21"/>
      <c r="N28" s="21"/>
      <c r="O28" s="283"/>
      <c r="P28" s="21"/>
      <c r="Q28" s="21"/>
      <c r="R28" s="21"/>
      <c r="S28" s="21"/>
      <c r="T28" s="40"/>
    </row>
    <row r="29" spans="1:25" ht="15" customHeight="1" thickTop="1" thickBot="1">
      <c r="B29" s="202"/>
      <c r="C29" s="524">
        <v>3</v>
      </c>
      <c r="D29" s="1593" t="s">
        <v>982</v>
      </c>
      <c r="E29" s="1951"/>
      <c r="F29" s="1951"/>
      <c r="G29" s="1951"/>
      <c r="H29" s="1951"/>
      <c r="I29" s="1951"/>
      <c r="J29" s="1951"/>
      <c r="K29" s="1951"/>
      <c r="L29" s="1951"/>
      <c r="M29" s="1951"/>
      <c r="N29" s="1951"/>
      <c r="O29" s="1951"/>
      <c r="P29" s="1951"/>
      <c r="Q29" s="1951"/>
      <c r="R29" s="1951"/>
      <c r="S29" s="1951"/>
      <c r="T29" s="525">
        <f>DATEDIF(T25,T27,"Y")</f>
        <v>0</v>
      </c>
    </row>
    <row r="30" spans="1:25" ht="6" customHeight="1" thickTop="1">
      <c r="B30" s="202"/>
      <c r="C30" s="524"/>
      <c r="D30" s="202"/>
      <c r="E30" s="308"/>
      <c r="F30" s="308"/>
      <c r="G30" s="308"/>
      <c r="H30" s="308"/>
      <c r="I30" s="308"/>
      <c r="J30" s="308"/>
      <c r="K30" s="308"/>
      <c r="L30" s="308"/>
      <c r="M30" s="308"/>
      <c r="N30" s="308"/>
      <c r="O30" s="308"/>
      <c r="P30" s="308"/>
      <c r="Q30" s="308"/>
      <c r="R30" s="308"/>
      <c r="S30" s="308"/>
    </row>
    <row r="31" spans="1:25" ht="12.6" customHeight="1">
      <c r="B31" s="202"/>
      <c r="C31" s="202"/>
      <c r="D31" s="2198" t="s">
        <v>1508</v>
      </c>
      <c r="E31" s="2198"/>
      <c r="F31" s="2198"/>
      <c r="G31" s="2198"/>
      <c r="H31" s="2198"/>
      <c r="I31" s="2198"/>
      <c r="J31" s="2198"/>
      <c r="K31" s="2198"/>
      <c r="L31" s="2198"/>
      <c r="M31" s="2198"/>
      <c r="N31" s="2198"/>
      <c r="O31" s="2198"/>
      <c r="P31" s="2198"/>
      <c r="Q31" s="2198"/>
      <c r="R31" s="2198"/>
      <c r="S31" s="2198"/>
      <c r="T31" s="2198"/>
    </row>
    <row r="32" spans="1:25" s="1515" customFormat="1" ht="6" customHeight="1">
      <c r="A32" s="4"/>
      <c r="B32" s="1518"/>
      <c r="C32" s="1518"/>
      <c r="D32" s="1518"/>
      <c r="E32" s="1518"/>
      <c r="F32" s="1518"/>
      <c r="G32" s="1518"/>
      <c r="H32" s="1518"/>
      <c r="I32" s="1518"/>
      <c r="J32" s="1519"/>
      <c r="K32" s="1519"/>
      <c r="L32" s="1519"/>
      <c r="M32" s="1519"/>
      <c r="N32" s="1519"/>
      <c r="O32" s="1523"/>
      <c r="P32" s="1519"/>
      <c r="Q32" s="1519"/>
      <c r="R32" s="1519"/>
      <c r="S32" s="1519"/>
      <c r="T32" s="40"/>
      <c r="U32" s="4"/>
      <c r="V32" s="6"/>
      <c r="W32" s="4"/>
      <c r="X32" s="4"/>
      <c r="Y32" s="6"/>
    </row>
    <row r="33" spans="1:25" s="1515" customFormat="1" ht="39" customHeight="1">
      <c r="A33" s="4"/>
      <c r="C33" s="158">
        <v>4</v>
      </c>
      <c r="D33" s="1656" t="s">
        <v>2386</v>
      </c>
      <c r="E33" s="1656"/>
      <c r="F33" s="1656"/>
      <c r="G33" s="1656"/>
      <c r="H33" s="1656"/>
      <c r="I33" s="1656"/>
      <c r="J33" s="1656"/>
      <c r="K33" s="1656"/>
      <c r="L33" s="1656"/>
      <c r="M33" s="1656"/>
      <c r="N33" s="1656"/>
      <c r="O33" s="1656"/>
      <c r="P33" s="1656"/>
      <c r="Q33" s="1656"/>
      <c r="R33" s="1656"/>
      <c r="S33" s="1656"/>
      <c r="T33" s="1656"/>
      <c r="U33" s="4"/>
      <c r="V33" s="6"/>
      <c r="W33" s="4"/>
      <c r="X33" s="4"/>
      <c r="Y33" s="6"/>
    </row>
    <row r="34" spans="1:25" s="1515" customFormat="1" ht="6" customHeight="1">
      <c r="A34" s="4"/>
      <c r="B34" s="1524"/>
      <c r="L34" s="1520"/>
      <c r="O34" s="1527"/>
      <c r="U34" s="4"/>
      <c r="V34" s="6"/>
      <c r="W34" s="4"/>
      <c r="X34" s="4"/>
      <c r="Y34" s="6"/>
    </row>
    <row r="35" spans="1:25" s="1515" customFormat="1" ht="27" customHeight="1" thickBot="1">
      <c r="A35" s="4"/>
      <c r="D35" s="206" t="s">
        <v>63</v>
      </c>
      <c r="E35" s="1656" t="s">
        <v>303</v>
      </c>
      <c r="F35" s="1656"/>
      <c r="G35" s="1656"/>
      <c r="H35" s="1656"/>
      <c r="I35" s="1656"/>
      <c r="J35" s="1656"/>
      <c r="K35" s="1656"/>
      <c r="L35" s="1656"/>
      <c r="M35" s="1656"/>
      <c r="N35" s="1656"/>
      <c r="O35" s="1656"/>
      <c r="P35" s="1656"/>
      <c r="Q35" s="1656"/>
      <c r="R35" s="1656"/>
      <c r="S35" s="1656"/>
      <c r="T35" s="1517"/>
      <c r="U35" s="4"/>
      <c r="V35" s="6"/>
      <c r="W35" s="4"/>
      <c r="X35" s="4"/>
      <c r="Y35" s="6"/>
    </row>
    <row r="36" spans="1:25" ht="6" customHeight="1" thickTop="1">
      <c r="B36" s="4"/>
    </row>
    <row r="37" spans="1:25" ht="25.5" customHeight="1" thickBot="1">
      <c r="B37" s="4"/>
      <c r="D37" s="206" t="s">
        <v>64</v>
      </c>
      <c r="E37" s="1656" t="s">
        <v>2199</v>
      </c>
      <c r="F37" s="1656"/>
      <c r="G37" s="1656"/>
      <c r="H37" s="1656"/>
      <c r="I37" s="1656"/>
      <c r="J37" s="1656"/>
      <c r="K37" s="1656"/>
      <c r="L37" s="1656"/>
      <c r="M37" s="1656"/>
      <c r="N37" s="1656"/>
      <c r="O37" s="1656"/>
      <c r="P37" s="1656"/>
      <c r="Q37" s="1656"/>
      <c r="R37" s="1656"/>
      <c r="S37" s="1656"/>
      <c r="T37" s="1262"/>
    </row>
    <row r="38" spans="1:25" ht="6" customHeight="1" thickTop="1">
      <c r="B38" s="4"/>
      <c r="E38" s="202"/>
      <c r="F38" s="202"/>
      <c r="G38" s="202"/>
      <c r="H38" s="202"/>
      <c r="I38" s="202"/>
      <c r="J38" s="202"/>
      <c r="K38" s="202"/>
      <c r="L38" s="202"/>
      <c r="M38" s="202"/>
      <c r="N38" s="202"/>
      <c r="O38" s="271"/>
      <c r="P38" s="202"/>
      <c r="Q38" s="202"/>
      <c r="R38" s="202"/>
    </row>
    <row r="39" spans="1:25" ht="39" customHeight="1" thickBot="1">
      <c r="B39" s="4"/>
      <c r="D39" s="206" t="s">
        <v>67</v>
      </c>
      <c r="E39" s="1656" t="s">
        <v>2743</v>
      </c>
      <c r="F39" s="1656"/>
      <c r="G39" s="1656"/>
      <c r="H39" s="1656"/>
      <c r="I39" s="1656"/>
      <c r="J39" s="1656"/>
      <c r="K39" s="1656"/>
      <c r="L39" s="1656"/>
      <c r="M39" s="1656"/>
      <c r="N39" s="1656"/>
      <c r="O39" s="1656"/>
      <c r="P39" s="1656"/>
      <c r="Q39" s="1656"/>
      <c r="R39" s="1656"/>
      <c r="S39" s="1656"/>
      <c r="T39" s="1262"/>
    </row>
    <row r="40" spans="1:25" ht="6" customHeight="1" thickTop="1">
      <c r="B40" s="4"/>
      <c r="L40" s="4"/>
    </row>
    <row r="41" spans="1:25" ht="51.95" customHeight="1" thickBot="1">
      <c r="B41" s="4"/>
      <c r="D41" s="206" t="s">
        <v>92</v>
      </c>
      <c r="E41" s="1656" t="s">
        <v>2744</v>
      </c>
      <c r="F41" s="1656"/>
      <c r="G41" s="1656"/>
      <c r="H41" s="1656"/>
      <c r="I41" s="1656"/>
      <c r="J41" s="1656"/>
      <c r="K41" s="1656"/>
      <c r="L41" s="1656"/>
      <c r="M41" s="1656"/>
      <c r="N41" s="1656"/>
      <c r="O41" s="1656"/>
      <c r="P41" s="1656"/>
      <c r="Q41" s="1656"/>
      <c r="R41" s="1656"/>
      <c r="S41" s="1656"/>
      <c r="T41" s="1262"/>
    </row>
    <row r="42" spans="1:25" ht="6" customHeight="1" thickTop="1">
      <c r="B42" s="4"/>
      <c r="E42" s="202"/>
      <c r="L42" s="4"/>
    </row>
    <row r="43" spans="1:25" ht="26.1" customHeight="1" thickBot="1">
      <c r="B43" s="4"/>
      <c r="D43" s="206" t="s">
        <v>93</v>
      </c>
      <c r="E43" s="1656" t="s">
        <v>177</v>
      </c>
      <c r="F43" s="1656"/>
      <c r="G43" s="1656"/>
      <c r="H43" s="1656"/>
      <c r="I43" s="1656"/>
      <c r="J43" s="1656"/>
      <c r="K43" s="1656"/>
      <c r="L43" s="1656"/>
      <c r="M43" s="1656"/>
      <c r="N43" s="1656"/>
      <c r="O43" s="1656"/>
      <c r="P43" s="1656"/>
      <c r="Q43" s="1656"/>
      <c r="R43" s="1656"/>
      <c r="S43" s="1656"/>
      <c r="T43" s="1262"/>
    </row>
    <row r="44" spans="1:25" ht="12" customHeight="1" thickTop="1"/>
    <row r="45" spans="1:25" ht="26.45" customHeight="1" thickBot="1">
      <c r="B45" s="206" t="s">
        <v>55</v>
      </c>
      <c r="C45" s="1656" t="s">
        <v>2200</v>
      </c>
      <c r="D45" s="1656"/>
      <c r="E45" s="1656"/>
      <c r="F45" s="1656"/>
      <c r="G45" s="1656"/>
      <c r="H45" s="1656"/>
      <c r="I45" s="1656"/>
      <c r="J45" s="1656"/>
      <c r="K45" s="1656"/>
      <c r="L45" s="1656"/>
      <c r="M45" s="1656"/>
      <c r="N45" s="1656"/>
      <c r="O45" s="1656"/>
      <c r="P45" s="1656"/>
      <c r="Q45" s="1656"/>
      <c r="R45" s="1656"/>
      <c r="S45" s="1656"/>
      <c r="T45" s="438"/>
    </row>
    <row r="46" spans="1:25" ht="12" customHeight="1" thickTop="1">
      <c r="A46" s="12"/>
      <c r="L46" s="202"/>
      <c r="M46" s="202"/>
      <c r="N46" s="202"/>
      <c r="O46" s="271"/>
      <c r="P46" s="202"/>
      <c r="Q46" s="202"/>
      <c r="R46" s="202"/>
      <c r="S46" s="202"/>
      <c r="T46" s="202"/>
    </row>
    <row r="47" spans="1:25" ht="15" customHeight="1" thickBot="1">
      <c r="A47" s="12"/>
      <c r="B47" s="85" t="s">
        <v>56</v>
      </c>
      <c r="C47" s="1593" t="s">
        <v>2222</v>
      </c>
      <c r="D47" s="1593"/>
      <c r="E47" s="1593"/>
      <c r="F47" s="1593"/>
      <c r="G47" s="1593"/>
      <c r="H47" s="1593"/>
      <c r="I47" s="1593"/>
      <c r="J47" s="1593"/>
      <c r="K47" s="1593"/>
      <c r="L47" s="1593"/>
      <c r="M47" s="1593"/>
      <c r="N47" s="1593"/>
      <c r="O47" s="1593"/>
      <c r="P47" s="1593"/>
      <c r="Q47" s="1593"/>
      <c r="R47" s="1593"/>
      <c r="S47" s="1593"/>
      <c r="T47" s="438"/>
    </row>
    <row r="48" spans="1:25" ht="6" customHeight="1" thickTop="1" thickBot="1">
      <c r="A48" s="12"/>
      <c r="L48" s="202"/>
      <c r="M48" s="202"/>
      <c r="N48" s="202"/>
      <c r="O48" s="271"/>
      <c r="P48" s="202"/>
      <c r="Q48" s="202"/>
      <c r="R48" s="202"/>
      <c r="S48" s="202"/>
      <c r="T48" s="202"/>
    </row>
    <row r="49" spans="1:20" ht="15" customHeight="1" thickTop="1" thickBot="1">
      <c r="A49" s="12"/>
      <c r="B49" s="12"/>
      <c r="C49" s="524">
        <v>1</v>
      </c>
      <c r="D49" s="1593" t="s">
        <v>2223</v>
      </c>
      <c r="E49" s="1593"/>
      <c r="F49" s="1593"/>
      <c r="G49" s="1593"/>
      <c r="H49" s="1593"/>
      <c r="I49" s="1593"/>
      <c r="J49" s="1593"/>
      <c r="K49" s="1593"/>
      <c r="L49" s="1593"/>
      <c r="M49" s="1593"/>
      <c r="N49" s="1593"/>
      <c r="O49" s="1593"/>
      <c r="P49" s="1593"/>
      <c r="Q49" s="1593"/>
      <c r="R49" s="1593"/>
      <c r="S49" s="1593"/>
      <c r="T49" s="237"/>
    </row>
    <row r="50" spans="1:20" ht="6" customHeight="1" thickTop="1" thickBot="1">
      <c r="B50" s="202"/>
      <c r="C50" s="37"/>
      <c r="D50" s="202"/>
      <c r="E50" s="202"/>
      <c r="F50" s="202"/>
      <c r="G50" s="202"/>
      <c r="H50" s="202"/>
      <c r="I50" s="202"/>
      <c r="J50" s="21"/>
      <c r="K50" s="21"/>
      <c r="L50" s="21"/>
      <c r="M50" s="21"/>
      <c r="N50" s="21"/>
      <c r="O50" s="283"/>
      <c r="P50" s="21"/>
      <c r="Q50" s="21"/>
      <c r="R50" s="21"/>
      <c r="S50" s="21"/>
      <c r="T50" s="40"/>
    </row>
    <row r="51" spans="1:20" ht="15" customHeight="1" thickTop="1" thickBot="1">
      <c r="B51" s="202"/>
      <c r="C51" s="524">
        <v>2</v>
      </c>
      <c r="D51" s="1593" t="s">
        <v>2224</v>
      </c>
      <c r="E51" s="1951"/>
      <c r="F51" s="1951"/>
      <c r="G51" s="1951"/>
      <c r="H51" s="1951"/>
      <c r="I51" s="1951"/>
      <c r="J51" s="1951"/>
      <c r="K51" s="1951"/>
      <c r="L51" s="1951"/>
      <c r="M51" s="1951"/>
      <c r="N51" s="1951"/>
      <c r="O51" s="1951"/>
      <c r="P51" s="1951"/>
      <c r="Q51" s="1951"/>
      <c r="R51" s="1951"/>
      <c r="S51" s="1951"/>
      <c r="T51" s="237"/>
    </row>
    <row r="52" spans="1:20" ht="6" customHeight="1" thickTop="1" thickBot="1">
      <c r="A52" s="12"/>
      <c r="L52" s="202"/>
      <c r="M52" s="202"/>
      <c r="N52" s="202"/>
      <c r="O52" s="271"/>
      <c r="P52" s="202"/>
      <c r="Q52" s="202"/>
      <c r="R52" s="202"/>
      <c r="S52" s="202"/>
      <c r="T52" s="202"/>
    </row>
    <row r="53" spans="1:20" ht="15" customHeight="1" thickTop="1" thickBot="1">
      <c r="B53" s="202"/>
      <c r="C53" s="524">
        <v>3</v>
      </c>
      <c r="D53" s="1593" t="s">
        <v>2219</v>
      </c>
      <c r="E53" s="1951"/>
      <c r="F53" s="1951"/>
      <c r="G53" s="1951"/>
      <c r="H53" s="1951"/>
      <c r="I53" s="1951"/>
      <c r="J53" s="1951"/>
      <c r="K53" s="1951"/>
      <c r="L53" s="1951"/>
      <c r="M53" s="1951"/>
      <c r="N53" s="1951"/>
      <c r="O53" s="1951"/>
      <c r="P53" s="1951"/>
      <c r="Q53" s="1951"/>
      <c r="R53" s="1951"/>
      <c r="S53" s="1951"/>
      <c r="T53" s="237"/>
    </row>
    <row r="54" spans="1:20" ht="6" customHeight="1" thickTop="1">
      <c r="B54" s="202"/>
      <c r="C54" s="524"/>
      <c r="D54" s="202"/>
      <c r="E54" s="308"/>
      <c r="F54" s="308"/>
      <c r="G54" s="308"/>
      <c r="H54" s="308"/>
      <c r="I54" s="308"/>
      <c r="J54" s="308"/>
      <c r="K54" s="308"/>
      <c r="L54" s="308"/>
      <c r="M54" s="308"/>
      <c r="N54" s="308"/>
      <c r="O54" s="308"/>
      <c r="P54" s="308"/>
      <c r="Q54" s="308"/>
      <c r="R54" s="308"/>
      <c r="S54" s="308"/>
    </row>
    <row r="55" spans="1:20" ht="12.6" customHeight="1">
      <c r="B55" s="202"/>
      <c r="C55" s="2200" t="s">
        <v>2234</v>
      </c>
      <c r="D55" s="2200"/>
      <c r="E55" s="2200"/>
      <c r="F55" s="2200"/>
      <c r="G55" s="2200"/>
      <c r="H55" s="2200"/>
      <c r="I55" s="2200"/>
      <c r="J55" s="2200"/>
      <c r="K55" s="2200"/>
      <c r="L55" s="2200"/>
      <c r="M55" s="2200"/>
      <c r="N55" s="2200"/>
      <c r="O55" s="2200"/>
      <c r="P55" s="2200"/>
      <c r="Q55" s="2200"/>
      <c r="R55" s="2200"/>
      <c r="S55" s="2200"/>
      <c r="T55" s="2200"/>
    </row>
    <row r="56" spans="1:20" ht="12.95" customHeight="1">
      <c r="E56" s="202"/>
      <c r="F56" s="202"/>
      <c r="G56" s="202"/>
      <c r="H56" s="202"/>
      <c r="I56" s="202"/>
      <c r="J56" s="202"/>
      <c r="K56" s="202"/>
      <c r="L56" s="202"/>
      <c r="M56" s="202"/>
      <c r="N56" s="202"/>
      <c r="O56" s="271"/>
      <c r="P56" s="202"/>
      <c r="Q56" s="202"/>
      <c r="R56" s="202"/>
      <c r="S56" s="202"/>
      <c r="T56" s="202"/>
    </row>
    <row r="57" spans="1:20" ht="26.1" customHeight="1">
      <c r="A57" s="12"/>
      <c r="B57" s="206" t="s">
        <v>105</v>
      </c>
      <c r="C57" s="1656" t="s">
        <v>960</v>
      </c>
      <c r="D57" s="1656"/>
      <c r="E57" s="1656"/>
      <c r="F57" s="1656"/>
      <c r="G57" s="1656"/>
      <c r="H57" s="1656"/>
      <c r="I57" s="1656"/>
      <c r="J57" s="1656"/>
      <c r="K57" s="1656"/>
      <c r="L57" s="1656"/>
      <c r="M57" s="1656"/>
      <c r="N57" s="1656"/>
      <c r="O57" s="1656"/>
      <c r="P57" s="1656"/>
      <c r="Q57" s="1656"/>
      <c r="R57" s="1656"/>
      <c r="S57" s="1656"/>
      <c r="T57" s="1656"/>
    </row>
    <row r="58" spans="1:20" ht="6" customHeight="1" thickBot="1">
      <c r="A58" s="12"/>
      <c r="C58" s="202"/>
      <c r="D58" s="202"/>
      <c r="E58" s="202"/>
      <c r="F58" s="202"/>
      <c r="G58" s="202"/>
      <c r="H58" s="202"/>
      <c r="I58" s="202"/>
      <c r="J58" s="202"/>
      <c r="K58" s="202"/>
      <c r="L58" s="202"/>
      <c r="M58" s="202"/>
      <c r="N58" s="202"/>
      <c r="O58" s="271"/>
      <c r="P58" s="202"/>
      <c r="Q58" s="202"/>
      <c r="R58" s="202"/>
      <c r="S58" s="202"/>
      <c r="T58" s="202"/>
    </row>
    <row r="59" spans="1:20" ht="15" customHeight="1" thickTop="1" thickBot="1">
      <c r="D59" s="1780" t="s">
        <v>2315</v>
      </c>
      <c r="E59" s="1843"/>
      <c r="F59" s="1843"/>
      <c r="G59" s="1843"/>
      <c r="H59" s="1843"/>
      <c r="I59" s="1843"/>
      <c r="J59" s="1843"/>
      <c r="K59" s="1843"/>
      <c r="L59" s="1843"/>
      <c r="M59" s="1781"/>
      <c r="N59" s="1780" t="s">
        <v>956</v>
      </c>
      <c r="O59" s="1843"/>
      <c r="P59" s="1781"/>
      <c r="Q59" s="1780" t="s">
        <v>957</v>
      </c>
      <c r="R59" s="1843"/>
      <c r="S59" s="1781"/>
      <c r="T59" s="1093" t="s">
        <v>656</v>
      </c>
    </row>
    <row r="60" spans="1:20" ht="15" customHeight="1" thickTop="1" thickBot="1">
      <c r="C60" s="132">
        <v>1</v>
      </c>
      <c r="D60" s="1777" t="s">
        <v>958</v>
      </c>
      <c r="E60" s="1778"/>
      <c r="F60" s="1778"/>
      <c r="G60" s="1778"/>
      <c r="H60" s="1778"/>
      <c r="I60" s="1778"/>
      <c r="J60" s="1778"/>
      <c r="K60" s="1778"/>
      <c r="L60" s="1778"/>
      <c r="M60" s="1779"/>
      <c r="N60" s="1958"/>
      <c r="O60" s="1744"/>
      <c r="P60" s="1959"/>
      <c r="Q60" s="2007"/>
      <c r="R60" s="2199"/>
      <c r="S60" s="2008"/>
      <c r="T60" s="714">
        <f>+Q60-N60</f>
        <v>0</v>
      </c>
    </row>
    <row r="61" spans="1:20" ht="15" customHeight="1" thickTop="1" thickBot="1">
      <c r="C61" s="132">
        <v>2</v>
      </c>
      <c r="D61" s="1777" t="s">
        <v>952</v>
      </c>
      <c r="E61" s="1778"/>
      <c r="F61" s="1778"/>
      <c r="G61" s="1778"/>
      <c r="H61" s="1778"/>
      <c r="I61" s="1778"/>
      <c r="J61" s="1778"/>
      <c r="K61" s="1778"/>
      <c r="L61" s="1778"/>
      <c r="M61" s="1779"/>
      <c r="N61" s="1958"/>
      <c r="O61" s="1744"/>
      <c r="P61" s="1959"/>
      <c r="Q61" s="2007"/>
      <c r="R61" s="2199"/>
      <c r="S61" s="2008"/>
      <c r="T61" s="714">
        <f t="shared" ref="T61:T66" si="0">+Q61-N61</f>
        <v>0</v>
      </c>
    </row>
    <row r="62" spans="1:20" ht="15" customHeight="1" thickTop="1" thickBot="1">
      <c r="C62" s="132">
        <v>3</v>
      </c>
      <c r="D62" s="1777" t="s">
        <v>959</v>
      </c>
      <c r="E62" s="1778"/>
      <c r="F62" s="1778"/>
      <c r="G62" s="1778"/>
      <c r="H62" s="1778"/>
      <c r="I62" s="1778"/>
      <c r="J62" s="1778"/>
      <c r="K62" s="1778"/>
      <c r="L62" s="1778"/>
      <c r="M62" s="1779"/>
      <c r="N62" s="1958"/>
      <c r="O62" s="1744"/>
      <c r="P62" s="1959"/>
      <c r="Q62" s="2007"/>
      <c r="R62" s="2199"/>
      <c r="S62" s="2008"/>
      <c r="T62" s="714">
        <f t="shared" si="0"/>
        <v>0</v>
      </c>
    </row>
    <row r="63" spans="1:20" ht="15" customHeight="1" thickTop="1" thickBot="1">
      <c r="C63" s="132">
        <v>4</v>
      </c>
      <c r="D63" s="1777" t="s">
        <v>953</v>
      </c>
      <c r="E63" s="1778"/>
      <c r="F63" s="1778"/>
      <c r="G63" s="1778"/>
      <c r="H63" s="1778"/>
      <c r="I63" s="1778"/>
      <c r="J63" s="1778"/>
      <c r="K63" s="1778"/>
      <c r="L63" s="1778"/>
      <c r="M63" s="1779"/>
      <c r="N63" s="1958"/>
      <c r="O63" s="1744"/>
      <c r="P63" s="1959"/>
      <c r="Q63" s="2007"/>
      <c r="R63" s="2199"/>
      <c r="S63" s="2008"/>
      <c r="T63" s="714">
        <f t="shared" si="0"/>
        <v>0</v>
      </c>
    </row>
    <row r="64" spans="1:20" ht="15" customHeight="1" thickTop="1" thickBot="1">
      <c r="C64" s="132">
        <v>5</v>
      </c>
      <c r="D64" s="1777" t="s">
        <v>954</v>
      </c>
      <c r="E64" s="1778"/>
      <c r="F64" s="1778"/>
      <c r="G64" s="1778"/>
      <c r="H64" s="1778"/>
      <c r="I64" s="1778"/>
      <c r="J64" s="1778"/>
      <c r="K64" s="1778"/>
      <c r="L64" s="1778"/>
      <c r="M64" s="1779"/>
      <c r="N64" s="1958"/>
      <c r="O64" s="1744"/>
      <c r="P64" s="1959"/>
      <c r="Q64" s="2007"/>
      <c r="R64" s="2199"/>
      <c r="S64" s="2008"/>
      <c r="T64" s="714">
        <f t="shared" si="0"/>
        <v>0</v>
      </c>
    </row>
    <row r="65" spans="3:20" ht="15" customHeight="1" thickTop="1" thickBot="1">
      <c r="C65" s="132">
        <v>6</v>
      </c>
      <c r="D65" s="1777" t="s">
        <v>955</v>
      </c>
      <c r="E65" s="1778"/>
      <c r="F65" s="1778"/>
      <c r="G65" s="1778"/>
      <c r="H65" s="1778"/>
      <c r="I65" s="1778"/>
      <c r="J65" s="1778"/>
      <c r="K65" s="1778"/>
      <c r="L65" s="1778"/>
      <c r="M65" s="1779"/>
      <c r="N65" s="1958"/>
      <c r="O65" s="1744"/>
      <c r="P65" s="1959"/>
      <c r="Q65" s="2007"/>
      <c r="R65" s="2199"/>
      <c r="S65" s="2008"/>
      <c r="T65" s="714">
        <f t="shared" si="0"/>
        <v>0</v>
      </c>
    </row>
    <row r="66" spans="3:20" ht="15" customHeight="1" thickTop="1" thickBot="1">
      <c r="C66" s="132">
        <v>7</v>
      </c>
      <c r="D66" s="1777" t="s">
        <v>137</v>
      </c>
      <c r="E66" s="1778"/>
      <c r="F66" s="1778"/>
      <c r="G66" s="1778"/>
      <c r="H66" s="1650"/>
      <c r="I66" s="1650"/>
      <c r="J66" s="1650"/>
      <c r="K66" s="1650"/>
      <c r="L66" s="1650"/>
      <c r="M66" s="1660"/>
      <c r="N66" s="1958"/>
      <c r="O66" s="1744"/>
      <c r="P66" s="1959"/>
      <c r="Q66" s="2007"/>
      <c r="R66" s="2199"/>
      <c r="S66" s="2008"/>
      <c r="T66" s="714">
        <f t="shared" si="0"/>
        <v>0</v>
      </c>
    </row>
    <row r="67" spans="3:20" ht="13.5" thickTop="1"/>
  </sheetData>
  <sheetProtection algorithmName="SHA-512" hashValue="xSHPC1RtDOVjucEc6mBhA8k/X3IaIGTHFyrH4Dqz1WrclBLh4vbjYwDm37Vmm/P8tYPvdapZ+Sruaa0O2C/xiA==" saltValue="hWbl2rZJu0SVwkdj49K9Xg==" spinCount="100000" sheet="1" objects="1" scenarios="1"/>
  <mergeCells count="53">
    <mergeCell ref="Q63:S63"/>
    <mergeCell ref="Q65:S65"/>
    <mergeCell ref="Q66:S66"/>
    <mergeCell ref="N64:P64"/>
    <mergeCell ref="N65:P65"/>
    <mergeCell ref="N66:P66"/>
    <mergeCell ref="N63:P63"/>
    <mergeCell ref="D64:M64"/>
    <mergeCell ref="D65:M65"/>
    <mergeCell ref="H66:M66"/>
    <mergeCell ref="D63:M63"/>
    <mergeCell ref="Q59:S59"/>
    <mergeCell ref="Q60:S60"/>
    <mergeCell ref="Q61:S61"/>
    <mergeCell ref="Q62:S62"/>
    <mergeCell ref="D60:M60"/>
    <mergeCell ref="D61:M61"/>
    <mergeCell ref="D59:M59"/>
    <mergeCell ref="D62:M62"/>
    <mergeCell ref="N59:P59"/>
    <mergeCell ref="N60:P60"/>
    <mergeCell ref="N61:P61"/>
    <mergeCell ref="N62:P62"/>
    <mergeCell ref="C57:T57"/>
    <mergeCell ref="D66:G66"/>
    <mergeCell ref="Q64:S64"/>
    <mergeCell ref="C17:Q17"/>
    <mergeCell ref="D51:S51"/>
    <mergeCell ref="E41:S41"/>
    <mergeCell ref="E43:S43"/>
    <mergeCell ref="E35:S35"/>
    <mergeCell ref="E37:S37"/>
    <mergeCell ref="E39:S39"/>
    <mergeCell ref="D25:S25"/>
    <mergeCell ref="D27:S27"/>
    <mergeCell ref="C19:T19"/>
    <mergeCell ref="D21:S21"/>
    <mergeCell ref="D23:S23"/>
    <mergeCell ref="C55:T55"/>
    <mergeCell ref="D29:S29"/>
    <mergeCell ref="D33:T33"/>
    <mergeCell ref="D53:S53"/>
    <mergeCell ref="B3:Q3"/>
    <mergeCell ref="B9:T9"/>
    <mergeCell ref="C11:S11"/>
    <mergeCell ref="C15:T15"/>
    <mergeCell ref="C13:S13"/>
    <mergeCell ref="B5:T5"/>
    <mergeCell ref="C7:S7"/>
    <mergeCell ref="D31:T31"/>
    <mergeCell ref="C45:S45"/>
    <mergeCell ref="C47:S47"/>
    <mergeCell ref="D49:S49"/>
  </mergeCells>
  <dataValidations count="2">
    <dataValidation type="list" allowBlank="1" showInputMessage="1" showErrorMessage="1" sqref="T47 T7 T21 T23 T45 T13 T11" xr:uid="{00000000-0002-0000-2400-000000000000}">
      <formula1>$W$3:$W$4</formula1>
    </dataValidation>
    <dataValidation type="list" allowBlank="1" showInputMessage="1" showErrorMessage="1" sqref="T35 T37 T41 T39 T43" xr:uid="{00000000-0002-0000-2400-000001000000}">
      <formula1>$X$3:$X$5</formula1>
    </dataValidation>
  </dataValidations>
  <pageMargins left="0.75" right="0.5" top="0.5" bottom="0.75" header="0" footer="0.5"/>
  <pageSetup scale="80" firstPageNumber="16" orientation="portrait" verticalDpi="300" r:id="rId1"/>
  <headerFooter alignWithMargins="0">
    <oddFooter>&amp;C&amp;A&amp;R&amp;D &amp;T</oddFooter>
  </headerFooter>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4">
    <pageSetUpPr fitToPage="1"/>
  </sheetPr>
  <dimension ref="A1:AV69"/>
  <sheetViews>
    <sheetView workbookViewId="0"/>
  </sheetViews>
  <sheetFormatPr defaultColWidth="10.7109375" defaultRowHeight="12.75"/>
  <cols>
    <col min="1" max="1" width="5.28515625" style="4" customWidth="1"/>
    <col min="2" max="6" width="2.7109375" style="4" customWidth="1"/>
    <col min="7" max="7" width="4.7109375" style="4" customWidth="1"/>
    <col min="8" max="8" width="2.7109375" style="4" customWidth="1"/>
    <col min="9" max="9" width="4.7109375" style="4" customWidth="1"/>
    <col min="10" max="10" width="2.7109375" style="4" customWidth="1"/>
    <col min="11" max="11" width="4.7109375" style="4" customWidth="1"/>
    <col min="12" max="12" width="2.7109375" style="4" customWidth="1"/>
    <col min="13" max="13" width="5.7109375" style="4" customWidth="1"/>
    <col min="14" max="14" width="2.7109375" style="4" customWidth="1"/>
    <col min="15" max="15" width="13.7109375" style="4" customWidth="1"/>
    <col min="16" max="16" width="7.7109375" style="4" customWidth="1"/>
    <col min="17" max="17" width="11.7109375" style="4" customWidth="1"/>
    <col min="18" max="18" width="6.7109375" style="4" customWidth="1"/>
    <col min="19" max="19" width="11.7109375" style="4" customWidth="1"/>
    <col min="20" max="20" width="2.7109375" style="4" customWidth="1"/>
    <col min="21" max="21" width="13.7109375" style="4" customWidth="1"/>
    <col min="22" max="22" width="10.7109375" style="4"/>
    <col min="23" max="23" width="5.7109375" style="6" customWidth="1"/>
    <col min="24" max="24" width="5.28515625" style="4" hidden="1" customWidth="1"/>
    <col min="25" max="29" width="2.7109375" style="4" hidden="1" customWidth="1"/>
    <col min="30" max="30" width="4.7109375" style="4" hidden="1" customWidth="1"/>
    <col min="31" max="31" width="2.7109375" style="4" hidden="1" customWidth="1"/>
    <col min="32" max="32" width="4.7109375" style="4" hidden="1" customWidth="1"/>
    <col min="33" max="33" width="2.7109375" style="4" hidden="1" customWidth="1"/>
    <col min="34" max="34" width="4.7109375" style="4" hidden="1" customWidth="1"/>
    <col min="35" max="37" width="2.7109375" style="4" hidden="1" customWidth="1"/>
    <col min="38" max="38" width="14" style="4" hidden="1" customWidth="1"/>
    <col min="39" max="39" width="7.7109375" style="4" hidden="1" customWidth="1"/>
    <col min="40" max="40" width="11.7109375" style="4" hidden="1" customWidth="1"/>
    <col min="41" max="41" width="6.7109375" style="4" hidden="1" customWidth="1"/>
    <col min="42" max="42" width="11.7109375" style="4" hidden="1" customWidth="1"/>
    <col min="43" max="43" width="2.7109375" style="4" hidden="1" customWidth="1"/>
    <col min="44" max="44" width="14" style="4" hidden="1" customWidth="1"/>
    <col min="45" max="47" width="10.7109375" style="4" hidden="1" customWidth="1"/>
    <col min="48" max="48" width="5.7109375" style="6" customWidth="1"/>
    <col min="49" max="16384" width="10.7109375" style="4"/>
  </cols>
  <sheetData>
    <row r="1" spans="1:48" s="814" customFormat="1" ht="12.75" customHeight="1">
      <c r="A1" s="1302" t="str">
        <f>IF('FORM 1040-1'!D15="","",'FORM 1040-1'!D15)</f>
        <v/>
      </c>
      <c r="B1" s="1303"/>
      <c r="C1" s="1303"/>
      <c r="D1" s="1303"/>
      <c r="E1" s="1303"/>
      <c r="F1" s="1303"/>
      <c r="G1" s="1303"/>
      <c r="H1" s="1303"/>
      <c r="I1" s="1303"/>
      <c r="J1" s="1303"/>
      <c r="K1" s="1303"/>
      <c r="L1" s="1303"/>
      <c r="M1" s="1303"/>
      <c r="N1" s="1303"/>
      <c r="O1" s="1303"/>
      <c r="P1" s="1303"/>
      <c r="Q1" s="1303"/>
      <c r="R1" s="1303"/>
      <c r="S1" s="1303"/>
      <c r="T1" s="1303"/>
      <c r="U1" s="1294" t="str">
        <f>IF('FORM 1040-1'!$E$12="","",'FORM 1040-1'!$E$12)</f>
        <v/>
      </c>
      <c r="W1" s="6"/>
      <c r="AV1" s="6"/>
    </row>
    <row r="2" spans="1:48" s="814" customFormat="1">
      <c r="W2" s="6"/>
      <c r="AV2" s="6"/>
    </row>
    <row r="3" spans="1:48" ht="15" customHeight="1">
      <c r="A3" s="12" t="s">
        <v>905</v>
      </c>
      <c r="B3" s="1694" t="s">
        <v>259</v>
      </c>
      <c r="C3" s="1694"/>
      <c r="D3" s="1694"/>
      <c r="E3" s="1694"/>
      <c r="F3" s="1694"/>
      <c r="G3" s="1694"/>
      <c r="H3" s="1694"/>
      <c r="I3" s="1694"/>
      <c r="J3" s="1694"/>
      <c r="K3" s="1694"/>
      <c r="L3" s="1694"/>
      <c r="M3" s="1694"/>
      <c r="N3" s="1694"/>
      <c r="O3" s="1694"/>
      <c r="P3" s="1694"/>
      <c r="Q3" s="1694"/>
      <c r="R3" s="1694"/>
      <c r="S3" s="37"/>
      <c r="T3" s="37"/>
      <c r="X3" s="12" t="s">
        <v>905</v>
      </c>
      <c r="Y3" s="1694" t="s">
        <v>259</v>
      </c>
      <c r="Z3" s="1694"/>
      <c r="AA3" s="1694"/>
      <c r="AB3" s="1694"/>
      <c r="AC3" s="1694"/>
      <c r="AD3" s="1694"/>
      <c r="AE3" s="1694"/>
      <c r="AF3" s="1694"/>
      <c r="AG3" s="1694"/>
      <c r="AH3" s="1694"/>
      <c r="AI3" s="1694"/>
      <c r="AJ3" s="1694"/>
      <c r="AK3" s="1694"/>
      <c r="AL3" s="1694"/>
      <c r="AM3" s="1694"/>
      <c r="AN3" s="1694"/>
      <c r="AO3" s="1694"/>
      <c r="AP3" s="37"/>
      <c r="AQ3" s="37"/>
      <c r="AT3" s="22" t="b">
        <v>1</v>
      </c>
      <c r="AU3" s="22" t="b">
        <v>1</v>
      </c>
    </row>
    <row r="4" spans="1:48" ht="12" customHeight="1">
      <c r="B4" s="202"/>
      <c r="C4" s="202"/>
      <c r="D4" s="202"/>
      <c r="E4" s="202"/>
      <c r="F4" s="202"/>
      <c r="G4" s="202"/>
      <c r="H4" s="202"/>
      <c r="I4" s="202"/>
      <c r="J4" s="202"/>
      <c r="K4" s="202"/>
      <c r="L4" s="202"/>
      <c r="M4" s="202"/>
      <c r="N4" s="202"/>
      <c r="O4" s="202"/>
      <c r="P4" s="202"/>
      <c r="Q4" s="202"/>
      <c r="R4" s="202"/>
      <c r="S4" s="202"/>
      <c r="T4" s="202"/>
      <c r="Y4" s="202"/>
      <c r="Z4" s="202"/>
      <c r="AA4" s="202"/>
      <c r="AB4" s="202"/>
      <c r="AC4" s="202"/>
      <c r="AD4" s="202"/>
      <c r="AE4" s="202"/>
      <c r="AF4" s="202"/>
      <c r="AG4" s="202"/>
      <c r="AH4" s="202"/>
      <c r="AI4" s="202"/>
      <c r="AJ4" s="202"/>
      <c r="AK4" s="202"/>
      <c r="AL4" s="202"/>
      <c r="AM4" s="202"/>
      <c r="AN4" s="202"/>
      <c r="AO4" s="202"/>
      <c r="AP4" s="202"/>
      <c r="AQ4" s="202"/>
      <c r="AT4" s="22" t="b">
        <v>0</v>
      </c>
      <c r="AU4" s="22" t="b">
        <v>0</v>
      </c>
    </row>
    <row r="5" spans="1:48" ht="15" customHeight="1">
      <c r="B5" s="85" t="s">
        <v>53</v>
      </c>
      <c r="C5" s="1694" t="s">
        <v>285</v>
      </c>
      <c r="D5" s="1694"/>
      <c r="E5" s="1694"/>
      <c r="F5" s="1694"/>
      <c r="G5" s="1694"/>
      <c r="H5" s="1694"/>
      <c r="I5" s="1694"/>
      <c r="J5" s="1694"/>
      <c r="K5" s="1694"/>
      <c r="L5" s="1694"/>
      <c r="M5" s="1694"/>
      <c r="N5" s="1694"/>
      <c r="O5" s="1694"/>
      <c r="P5" s="1694"/>
      <c r="Q5" s="1694"/>
      <c r="R5" s="1694"/>
      <c r="S5" s="37"/>
      <c r="T5" s="37"/>
      <c r="Y5" s="85" t="s">
        <v>53</v>
      </c>
      <c r="Z5" s="1694" t="s">
        <v>285</v>
      </c>
      <c r="AA5" s="1694"/>
      <c r="AB5" s="1694"/>
      <c r="AC5" s="1694"/>
      <c r="AD5" s="1694"/>
      <c r="AE5" s="1694"/>
      <c r="AF5" s="1694"/>
      <c r="AG5" s="1694"/>
      <c r="AH5" s="1694"/>
      <c r="AI5" s="1694"/>
      <c r="AJ5" s="1694"/>
      <c r="AK5" s="1694"/>
      <c r="AL5" s="1694"/>
      <c r="AM5" s="1694"/>
      <c r="AN5" s="1694"/>
      <c r="AO5" s="1694"/>
      <c r="AP5" s="37"/>
      <c r="AQ5" s="37"/>
      <c r="AU5" s="293" t="s">
        <v>312</v>
      </c>
    </row>
    <row r="6" spans="1:48" ht="12" customHeight="1">
      <c r="B6" s="85"/>
      <c r="C6" s="202"/>
      <c r="D6" s="202"/>
      <c r="E6" s="202"/>
      <c r="F6" s="202"/>
      <c r="G6" s="202"/>
      <c r="H6" s="202"/>
      <c r="I6" s="202"/>
      <c r="J6" s="202"/>
      <c r="K6" s="202"/>
      <c r="L6" s="202"/>
      <c r="M6" s="202"/>
      <c r="N6" s="202"/>
      <c r="O6" s="202"/>
      <c r="P6" s="202"/>
      <c r="Q6" s="202"/>
      <c r="R6" s="202"/>
      <c r="S6" s="202"/>
      <c r="T6" s="202"/>
      <c r="Y6" s="85"/>
      <c r="Z6" s="202"/>
      <c r="AA6" s="202"/>
      <c r="AB6" s="202"/>
      <c r="AC6" s="202"/>
      <c r="AD6" s="202"/>
      <c r="AE6" s="202"/>
      <c r="AF6" s="202"/>
      <c r="AG6" s="202"/>
      <c r="AH6" s="202"/>
      <c r="AI6" s="202"/>
      <c r="AJ6" s="202"/>
      <c r="AK6" s="202"/>
      <c r="AL6" s="202"/>
      <c r="AM6" s="202"/>
      <c r="AN6" s="202"/>
      <c r="AO6" s="202"/>
      <c r="AP6" s="202"/>
      <c r="AQ6" s="202"/>
    </row>
    <row r="7" spans="1:48" ht="26.45" customHeight="1" thickBot="1">
      <c r="B7" s="85"/>
      <c r="C7" s="158">
        <v>1</v>
      </c>
      <c r="D7" s="1656" t="s">
        <v>886</v>
      </c>
      <c r="E7" s="1656"/>
      <c r="F7" s="1656"/>
      <c r="G7" s="1656"/>
      <c r="H7" s="1656"/>
      <c r="I7" s="1656"/>
      <c r="J7" s="1656"/>
      <c r="K7" s="1656"/>
      <c r="L7" s="1656"/>
      <c r="M7" s="1656"/>
      <c r="N7" s="1656"/>
      <c r="O7" s="1656"/>
      <c r="P7" s="1656"/>
      <c r="Q7" s="1656"/>
      <c r="R7" s="1656"/>
      <c r="S7" s="1656"/>
      <c r="T7" s="1656"/>
      <c r="U7" s="444"/>
      <c r="Y7" s="85"/>
      <c r="Z7" s="158">
        <v>1</v>
      </c>
      <c r="AA7" s="1656" t="s">
        <v>886</v>
      </c>
      <c r="AB7" s="1656"/>
      <c r="AC7" s="1656"/>
      <c r="AD7" s="1656"/>
      <c r="AE7" s="1656"/>
      <c r="AF7" s="1656"/>
      <c r="AG7" s="1656"/>
      <c r="AH7" s="1656"/>
      <c r="AI7" s="1656"/>
      <c r="AJ7" s="1656"/>
      <c r="AK7" s="1656"/>
      <c r="AL7" s="1656"/>
      <c r="AM7" s="1656"/>
      <c r="AN7" s="1656"/>
      <c r="AO7" s="1656"/>
      <c r="AP7" s="1656"/>
      <c r="AQ7" s="1656"/>
      <c r="AR7" s="508" t="str">
        <f>IF(U7="","",(U7))</f>
        <v/>
      </c>
    </row>
    <row r="8" spans="1:48" ht="6" customHeight="1" thickTop="1">
      <c r="B8" s="85"/>
      <c r="D8" s="202"/>
      <c r="E8" s="202"/>
      <c r="F8" s="202"/>
      <c r="G8" s="202"/>
      <c r="H8" s="202"/>
      <c r="I8" s="202"/>
      <c r="J8" s="202"/>
      <c r="K8" s="202"/>
      <c r="L8" s="202"/>
      <c r="M8" s="202"/>
      <c r="N8" s="202"/>
      <c r="O8" s="202"/>
      <c r="P8" s="202"/>
      <c r="Q8" s="202"/>
      <c r="R8" s="202"/>
      <c r="S8" s="202"/>
      <c r="T8" s="202"/>
      <c r="Y8" s="85"/>
      <c r="AA8" s="202"/>
      <c r="AB8" s="202"/>
      <c r="AC8" s="202"/>
      <c r="AD8" s="202"/>
      <c r="AE8" s="202"/>
      <c r="AF8" s="202"/>
      <c r="AG8" s="202"/>
      <c r="AH8" s="202"/>
      <c r="AI8" s="202"/>
      <c r="AJ8" s="202"/>
      <c r="AK8" s="202"/>
      <c r="AL8" s="202"/>
      <c r="AM8" s="202"/>
      <c r="AN8" s="202"/>
      <c r="AO8" s="202"/>
      <c r="AP8" s="202"/>
      <c r="AQ8" s="202"/>
    </row>
    <row r="9" spans="1:48" ht="15" customHeight="1">
      <c r="A9" s="85"/>
      <c r="B9" s="85"/>
      <c r="C9" s="132">
        <v>2</v>
      </c>
      <c r="D9" s="37" t="s">
        <v>887</v>
      </c>
      <c r="F9" s="37"/>
      <c r="G9" s="37"/>
      <c r="H9" s="37"/>
      <c r="I9" s="37"/>
      <c r="J9" s="37"/>
      <c r="K9" s="37"/>
      <c r="L9" s="37"/>
      <c r="M9" s="37"/>
      <c r="N9" s="37"/>
      <c r="O9" s="37"/>
      <c r="P9" s="37"/>
      <c r="Q9" s="37"/>
      <c r="R9" s="37"/>
      <c r="S9" s="37"/>
      <c r="T9" s="37"/>
      <c r="U9" s="37"/>
      <c r="X9" s="85"/>
      <c r="Y9" s="85"/>
      <c r="Z9" s="132">
        <v>2</v>
      </c>
      <c r="AA9" s="37" t="s">
        <v>887</v>
      </c>
      <c r="AC9" s="37"/>
      <c r="AD9" s="37"/>
      <c r="AE9" s="37"/>
      <c r="AF9" s="37"/>
      <c r="AG9" s="37"/>
      <c r="AH9" s="37"/>
      <c r="AI9" s="37"/>
      <c r="AJ9" s="37"/>
      <c r="AK9" s="37"/>
      <c r="AL9" s="37"/>
      <c r="AM9" s="37"/>
      <c r="AN9" s="37"/>
      <c r="AO9" s="37"/>
      <c r="AP9" s="37"/>
      <c r="AQ9" s="37"/>
      <c r="AR9" s="37"/>
    </row>
    <row r="10" spans="1:48" ht="6" customHeight="1">
      <c r="E10" s="202"/>
      <c r="F10" s="202"/>
      <c r="G10" s="202"/>
      <c r="H10" s="202"/>
      <c r="I10" s="202"/>
      <c r="J10" s="202"/>
      <c r="K10" s="202"/>
      <c r="L10" s="202"/>
      <c r="M10" s="202"/>
      <c r="N10" s="202"/>
      <c r="O10" s="202"/>
      <c r="P10" s="202"/>
      <c r="Q10" s="202"/>
      <c r="R10" s="202"/>
      <c r="S10" s="202"/>
      <c r="T10" s="202"/>
      <c r="AB10" s="202"/>
      <c r="AC10" s="202"/>
      <c r="AD10" s="202"/>
      <c r="AE10" s="202"/>
      <c r="AF10" s="202"/>
      <c r="AG10" s="202"/>
      <c r="AH10" s="202"/>
      <c r="AI10" s="202"/>
      <c r="AJ10" s="202"/>
      <c r="AK10" s="202"/>
      <c r="AL10" s="202"/>
      <c r="AM10" s="202"/>
      <c r="AN10" s="202"/>
      <c r="AO10" s="202"/>
      <c r="AP10" s="202"/>
      <c r="AQ10" s="202"/>
    </row>
    <row r="11" spans="1:48" ht="15" customHeight="1">
      <c r="D11" s="2201" t="s">
        <v>888</v>
      </c>
      <c r="E11" s="2201"/>
      <c r="F11" s="2201"/>
      <c r="G11" s="2201"/>
      <c r="H11" s="2201"/>
      <c r="I11" s="2201"/>
      <c r="J11" s="2201"/>
      <c r="K11" s="2201"/>
      <c r="L11" s="2201"/>
      <c r="M11" s="2201"/>
      <c r="N11" s="2201"/>
      <c r="O11" s="509" t="s">
        <v>99</v>
      </c>
      <c r="P11" s="202"/>
      <c r="Q11" s="2201" t="s">
        <v>890</v>
      </c>
      <c r="R11" s="2201"/>
      <c r="S11" s="2201"/>
      <c r="T11" s="2201"/>
      <c r="U11" s="509" t="s">
        <v>99</v>
      </c>
      <c r="AA11" s="2201" t="s">
        <v>888</v>
      </c>
      <c r="AB11" s="2201"/>
      <c r="AC11" s="2201"/>
      <c r="AD11" s="2201"/>
      <c r="AE11" s="2201"/>
      <c r="AF11" s="2201"/>
      <c r="AG11" s="2201"/>
      <c r="AH11" s="2201"/>
      <c r="AI11" s="2201"/>
      <c r="AJ11" s="2201"/>
      <c r="AK11" s="2201"/>
      <c r="AL11" s="509" t="s">
        <v>99</v>
      </c>
      <c r="AM11" s="202"/>
      <c r="AN11" s="2201" t="s">
        <v>890</v>
      </c>
      <c r="AO11" s="2201"/>
      <c r="AP11" s="2201"/>
      <c r="AQ11" s="2201"/>
      <c r="AR11" s="509" t="s">
        <v>99</v>
      </c>
    </row>
    <row r="12" spans="1:48" ht="6" customHeight="1" thickBot="1">
      <c r="E12" s="202"/>
      <c r="F12" s="202"/>
      <c r="G12" s="202"/>
      <c r="H12" s="202"/>
      <c r="I12" s="202"/>
      <c r="J12" s="202"/>
      <c r="K12" s="202"/>
      <c r="L12" s="202"/>
      <c r="M12" s="202"/>
      <c r="N12" s="202"/>
      <c r="O12" s="202"/>
      <c r="P12" s="202"/>
      <c r="Q12" s="202"/>
      <c r="R12" s="202"/>
      <c r="S12" s="202"/>
      <c r="T12" s="202"/>
      <c r="AB12" s="202"/>
      <c r="AC12" s="202"/>
      <c r="AD12" s="202"/>
      <c r="AE12" s="202"/>
      <c r="AF12" s="202"/>
      <c r="AG12" s="202"/>
      <c r="AH12" s="202"/>
      <c r="AI12" s="202"/>
      <c r="AJ12" s="202"/>
      <c r="AK12" s="202"/>
      <c r="AL12" s="202"/>
      <c r="AM12" s="202"/>
      <c r="AN12" s="202"/>
      <c r="AO12" s="202"/>
      <c r="AP12" s="202"/>
      <c r="AQ12" s="202"/>
    </row>
    <row r="13" spans="1:48" ht="15" customHeight="1" thickTop="1" thickBot="1">
      <c r="D13" s="1593" t="s">
        <v>141</v>
      </c>
      <c r="E13" s="1593"/>
      <c r="F13" s="1593"/>
      <c r="G13" s="1593"/>
      <c r="H13" s="1593"/>
      <c r="I13" s="1593"/>
      <c r="J13" s="1593"/>
      <c r="K13" s="1593"/>
      <c r="L13" s="1593"/>
      <c r="M13" s="1593"/>
      <c r="N13" s="1593"/>
      <c r="O13" s="58"/>
      <c r="P13" s="202"/>
      <c r="Q13" s="1593" t="s">
        <v>896</v>
      </c>
      <c r="R13" s="1593"/>
      <c r="S13" s="1593"/>
      <c r="T13" s="1593"/>
      <c r="U13" s="58"/>
      <c r="AA13" s="1593" t="s">
        <v>141</v>
      </c>
      <c r="AB13" s="1593"/>
      <c r="AC13" s="1593"/>
      <c r="AD13" s="1593"/>
      <c r="AE13" s="1593"/>
      <c r="AF13" s="1593"/>
      <c r="AG13" s="1593"/>
      <c r="AH13" s="1593"/>
      <c r="AI13" s="1593"/>
      <c r="AJ13" s="1593"/>
      <c r="AK13" s="1593"/>
      <c r="AL13" s="510" t="str">
        <f>IF(O13="","",(O13))</f>
        <v/>
      </c>
      <c r="AM13" s="511" t="b">
        <f>IF(O13&gt;0,TRUE,FALSE)</f>
        <v>0</v>
      </c>
      <c r="AN13" s="1593" t="s">
        <v>896</v>
      </c>
      <c r="AO13" s="1593"/>
      <c r="AP13" s="1593"/>
      <c r="AQ13" s="1593"/>
      <c r="AR13" s="180" t="str">
        <f>IF(U13="","",(U13))</f>
        <v/>
      </c>
      <c r="AS13" s="511" t="b">
        <f>IF(U13&gt;0,TRUE,FALSE)</f>
        <v>0</v>
      </c>
    </row>
    <row r="14" spans="1:48" ht="6" customHeight="1" thickTop="1" thickBot="1">
      <c r="E14" s="202"/>
      <c r="F14" s="202"/>
      <c r="G14" s="202"/>
      <c r="H14" s="202"/>
      <c r="I14" s="202"/>
      <c r="J14" s="202"/>
      <c r="K14" s="202"/>
      <c r="L14" s="202"/>
      <c r="M14" s="202"/>
      <c r="N14" s="202"/>
      <c r="O14" s="12"/>
      <c r="P14" s="202"/>
      <c r="Q14" s="202"/>
      <c r="R14" s="202"/>
      <c r="S14" s="202"/>
      <c r="T14" s="202"/>
      <c r="U14" s="12"/>
      <c r="AB14" s="202"/>
      <c r="AC14" s="202"/>
      <c r="AD14" s="202"/>
      <c r="AE14" s="202"/>
      <c r="AF14" s="202"/>
      <c r="AG14" s="202"/>
      <c r="AH14" s="202"/>
      <c r="AI14" s="202"/>
      <c r="AJ14" s="202"/>
      <c r="AK14" s="202"/>
      <c r="AL14" s="12"/>
      <c r="AM14" s="202"/>
      <c r="AN14" s="202"/>
      <c r="AO14" s="202"/>
      <c r="AP14" s="202"/>
      <c r="AQ14" s="202"/>
    </row>
    <row r="15" spans="1:48" ht="15" customHeight="1" thickTop="1" thickBot="1">
      <c r="D15" s="1593" t="s">
        <v>2265</v>
      </c>
      <c r="E15" s="1951"/>
      <c r="F15" s="1951"/>
      <c r="G15" s="1951"/>
      <c r="H15" s="1951"/>
      <c r="I15" s="1951"/>
      <c r="J15" s="1951"/>
      <c r="K15" s="1951"/>
      <c r="L15" s="1951"/>
      <c r="M15" s="1951"/>
      <c r="N15" s="1951"/>
      <c r="O15" s="58"/>
      <c r="P15" s="202"/>
      <c r="Q15" s="1593" t="s">
        <v>1471</v>
      </c>
      <c r="R15" s="1593"/>
      <c r="S15" s="1593"/>
      <c r="T15" s="1593"/>
      <c r="U15" s="58"/>
      <c r="AA15" s="1593" t="s">
        <v>2265</v>
      </c>
      <c r="AB15" s="1951"/>
      <c r="AC15" s="1951"/>
      <c r="AD15" s="1951"/>
      <c r="AE15" s="1951"/>
      <c r="AF15" s="1951"/>
      <c r="AG15" s="1951"/>
      <c r="AH15" s="1951"/>
      <c r="AI15" s="1951"/>
      <c r="AJ15" s="1951"/>
      <c r="AK15" s="1951"/>
      <c r="AL15" s="510" t="str">
        <f>IF(O15="","",(O15))</f>
        <v/>
      </c>
      <c r="AM15" s="511" t="b">
        <f>IF(O15&gt;0,TRUE,FALSE)</f>
        <v>0</v>
      </c>
      <c r="AN15" s="1593" t="s">
        <v>1471</v>
      </c>
      <c r="AO15" s="1593"/>
      <c r="AP15" s="1593"/>
      <c r="AQ15" s="1593"/>
      <c r="AR15" s="180" t="str">
        <f>IF(U15="","",(U15))</f>
        <v/>
      </c>
      <c r="AS15" s="511" t="b">
        <f>IF(U15&gt;0,TRUE,FALSE)</f>
        <v>0</v>
      </c>
    </row>
    <row r="16" spans="1:48" ht="6" customHeight="1" thickTop="1" thickBot="1">
      <c r="E16" s="202"/>
      <c r="F16" s="202"/>
      <c r="G16" s="202"/>
      <c r="H16" s="202"/>
      <c r="I16" s="202"/>
      <c r="J16" s="202"/>
      <c r="K16" s="202"/>
      <c r="L16" s="202"/>
      <c r="M16" s="202"/>
      <c r="N16" s="202"/>
      <c r="O16" s="12"/>
      <c r="P16" s="202"/>
      <c r="Q16" s="202"/>
      <c r="R16" s="202"/>
      <c r="S16" s="202"/>
      <c r="T16" s="202"/>
      <c r="U16" s="12"/>
      <c r="AB16" s="202"/>
      <c r="AC16" s="202"/>
      <c r="AD16" s="202"/>
      <c r="AE16" s="202"/>
      <c r="AF16" s="202"/>
      <c r="AG16" s="202"/>
      <c r="AH16" s="202"/>
      <c r="AI16" s="202"/>
      <c r="AJ16" s="202"/>
      <c r="AK16" s="202"/>
      <c r="AL16" s="12"/>
      <c r="AM16" s="202"/>
      <c r="AN16" s="202"/>
      <c r="AO16" s="202"/>
      <c r="AP16" s="202"/>
      <c r="AQ16" s="202"/>
    </row>
    <row r="17" spans="1:48" ht="15" customHeight="1" thickTop="1" thickBot="1">
      <c r="D17" s="1593" t="s">
        <v>1840</v>
      </c>
      <c r="E17" s="1951"/>
      <c r="F17" s="1951"/>
      <c r="G17" s="1951"/>
      <c r="H17" s="1951"/>
      <c r="I17" s="1951"/>
      <c r="J17" s="1951"/>
      <c r="K17" s="1951"/>
      <c r="L17" s="1951"/>
      <c r="M17" s="1951"/>
      <c r="N17" s="1951"/>
      <c r="O17" s="58"/>
      <c r="P17" s="202"/>
      <c r="Q17" s="1593" t="s">
        <v>892</v>
      </c>
      <c r="R17" s="1593"/>
      <c r="S17" s="1593"/>
      <c r="T17" s="1593"/>
      <c r="U17" s="58"/>
      <c r="AA17" s="1593" t="s">
        <v>889</v>
      </c>
      <c r="AB17" s="1951"/>
      <c r="AC17" s="1951"/>
      <c r="AD17" s="1951"/>
      <c r="AE17" s="1951"/>
      <c r="AF17" s="1951"/>
      <c r="AG17" s="1951"/>
      <c r="AH17" s="1951"/>
      <c r="AI17" s="1951"/>
      <c r="AJ17" s="1951"/>
      <c r="AK17" s="1951"/>
      <c r="AL17" s="510" t="str">
        <f>IF(O17="","",(O17))</f>
        <v/>
      </c>
      <c r="AM17" s="511" t="b">
        <f>IF(O17&gt;0,TRUE,FALSE)</f>
        <v>0</v>
      </c>
      <c r="AN17" s="1593" t="s">
        <v>892</v>
      </c>
      <c r="AO17" s="1593"/>
      <c r="AP17" s="1593"/>
      <c r="AQ17" s="1593"/>
      <c r="AR17" s="180" t="str">
        <f>IF(U17="","",(U17))</f>
        <v/>
      </c>
      <c r="AS17" s="511" t="b">
        <f>IF(U17&gt;0,TRUE,FALSE)</f>
        <v>0</v>
      </c>
    </row>
    <row r="18" spans="1:48" ht="6" customHeight="1" thickTop="1" thickBot="1">
      <c r="E18" s="202"/>
      <c r="F18" s="202"/>
      <c r="G18" s="202"/>
      <c r="H18" s="202"/>
      <c r="I18" s="202"/>
      <c r="J18" s="202"/>
      <c r="K18" s="202"/>
      <c r="L18" s="202"/>
      <c r="M18" s="202"/>
      <c r="N18" s="202"/>
      <c r="O18" s="12"/>
      <c r="P18" s="202"/>
      <c r="Q18" s="202"/>
      <c r="R18" s="202"/>
      <c r="S18" s="202"/>
      <c r="T18" s="202"/>
      <c r="U18" s="12"/>
      <c r="AB18" s="202"/>
      <c r="AC18" s="202"/>
      <c r="AD18" s="202"/>
      <c r="AE18" s="202"/>
      <c r="AF18" s="202"/>
      <c r="AG18" s="202"/>
      <c r="AH18" s="202"/>
      <c r="AI18" s="202"/>
      <c r="AJ18" s="202"/>
      <c r="AK18" s="202"/>
      <c r="AL18" s="12"/>
      <c r="AM18" s="202"/>
      <c r="AN18" s="202"/>
      <c r="AO18" s="202"/>
      <c r="AP18" s="202"/>
      <c r="AQ18" s="202"/>
    </row>
    <row r="19" spans="1:48" ht="15" customHeight="1" thickTop="1" thickBot="1">
      <c r="D19" s="1593" t="s">
        <v>891</v>
      </c>
      <c r="E19" s="1951"/>
      <c r="F19" s="1951"/>
      <c r="G19" s="1951"/>
      <c r="H19" s="1951"/>
      <c r="I19" s="1951"/>
      <c r="J19" s="1951"/>
      <c r="K19" s="1951"/>
      <c r="L19" s="1951"/>
      <c r="M19" s="1951"/>
      <c r="N19" s="1951"/>
      <c r="O19" s="58"/>
      <c r="P19" s="202"/>
      <c r="Q19" s="1593" t="s">
        <v>1472</v>
      </c>
      <c r="R19" s="1593"/>
      <c r="S19" s="1593"/>
      <c r="T19" s="1593"/>
      <c r="U19" s="58"/>
      <c r="AA19" s="1593" t="s">
        <v>891</v>
      </c>
      <c r="AB19" s="1951"/>
      <c r="AC19" s="1951"/>
      <c r="AD19" s="1951"/>
      <c r="AE19" s="1951"/>
      <c r="AF19" s="1951"/>
      <c r="AG19" s="1951"/>
      <c r="AH19" s="1951"/>
      <c r="AI19" s="1951"/>
      <c r="AJ19" s="1951"/>
      <c r="AK19" s="1951"/>
      <c r="AL19" s="510" t="str">
        <f>IF(O19="","",(O19))</f>
        <v/>
      </c>
      <c r="AM19" s="511" t="b">
        <f>IF(O19&gt;0,TRUE,FALSE)</f>
        <v>0</v>
      </c>
      <c r="AN19" s="1593" t="s">
        <v>1472</v>
      </c>
      <c r="AO19" s="1593"/>
      <c r="AP19" s="1593"/>
      <c r="AQ19" s="1593"/>
      <c r="AR19" s="180" t="str">
        <f>IF(U19="","",(U19))</f>
        <v/>
      </c>
      <c r="AS19" s="511" t="b">
        <f>IF(U19&gt;0,TRUE,FALSE)</f>
        <v>0</v>
      </c>
    </row>
    <row r="20" spans="1:48" ht="6" customHeight="1" thickTop="1" thickBot="1">
      <c r="E20" s="202"/>
      <c r="F20" s="202"/>
      <c r="G20" s="202"/>
      <c r="H20" s="202"/>
      <c r="I20" s="202"/>
      <c r="J20" s="202"/>
      <c r="K20" s="202"/>
      <c r="L20" s="202"/>
      <c r="M20" s="202"/>
      <c r="N20" s="202"/>
      <c r="O20" s="12"/>
      <c r="P20" s="202"/>
      <c r="Q20" s="202"/>
      <c r="R20" s="202"/>
      <c r="S20" s="202"/>
      <c r="T20" s="202"/>
      <c r="U20" s="12"/>
      <c r="AB20" s="202"/>
      <c r="AC20" s="202"/>
      <c r="AD20" s="202"/>
      <c r="AE20" s="202"/>
      <c r="AF20" s="202"/>
      <c r="AG20" s="202"/>
      <c r="AH20" s="202"/>
      <c r="AI20" s="202"/>
      <c r="AJ20" s="202"/>
      <c r="AK20" s="202"/>
      <c r="AL20" s="12"/>
      <c r="AM20" s="202"/>
      <c r="AN20" s="202"/>
      <c r="AO20" s="202"/>
      <c r="AP20" s="202"/>
      <c r="AQ20" s="202"/>
    </row>
    <row r="21" spans="1:48" ht="15" customHeight="1" thickTop="1" thickBot="1">
      <c r="D21" s="1593" t="s">
        <v>892</v>
      </c>
      <c r="E21" s="1951"/>
      <c r="F21" s="1951"/>
      <c r="G21" s="1951"/>
      <c r="H21" s="1951"/>
      <c r="I21" s="1951"/>
      <c r="J21" s="1951"/>
      <c r="K21" s="1951"/>
      <c r="L21" s="1951"/>
      <c r="M21" s="1951"/>
      <c r="N21" s="1951"/>
      <c r="O21" s="58"/>
      <c r="P21" s="202"/>
      <c r="Q21" s="1593" t="s">
        <v>1473</v>
      </c>
      <c r="R21" s="1593"/>
      <c r="S21" s="1593"/>
      <c r="T21" s="1593"/>
      <c r="U21" s="58"/>
      <c r="AA21" s="1593" t="s">
        <v>892</v>
      </c>
      <c r="AB21" s="1951"/>
      <c r="AC21" s="1951"/>
      <c r="AD21" s="1951"/>
      <c r="AE21" s="1951"/>
      <c r="AF21" s="1951"/>
      <c r="AG21" s="1951"/>
      <c r="AH21" s="1951"/>
      <c r="AI21" s="1951"/>
      <c r="AJ21" s="1951"/>
      <c r="AK21" s="1951"/>
      <c r="AL21" s="510" t="str">
        <f>IF(O21="","",(O21))</f>
        <v/>
      </c>
      <c r="AM21" s="511" t="b">
        <f>IF(O21&gt;0,TRUE,FALSE)</f>
        <v>0</v>
      </c>
      <c r="AN21" s="1593" t="s">
        <v>1473</v>
      </c>
      <c r="AO21" s="1593"/>
      <c r="AP21" s="1593"/>
      <c r="AQ21" s="1593"/>
      <c r="AR21" s="180" t="str">
        <f>IF(U21="","",(U21))</f>
        <v/>
      </c>
      <c r="AS21" s="511" t="b">
        <f>IF(U21&gt;0,TRUE,FALSE)</f>
        <v>0</v>
      </c>
    </row>
    <row r="22" spans="1:48" ht="6" customHeight="1" thickTop="1" thickBot="1">
      <c r="E22" s="202"/>
      <c r="F22" s="202"/>
      <c r="G22" s="202"/>
      <c r="H22" s="202"/>
      <c r="I22" s="202"/>
      <c r="J22" s="202"/>
      <c r="K22" s="202"/>
      <c r="L22" s="202"/>
      <c r="M22" s="202"/>
      <c r="N22" s="202"/>
      <c r="O22" s="12"/>
      <c r="P22" s="202"/>
      <c r="Q22" s="202"/>
      <c r="R22" s="202"/>
      <c r="S22" s="202"/>
      <c r="T22" s="202"/>
      <c r="U22" s="12"/>
      <c r="AB22" s="202"/>
      <c r="AC22" s="202"/>
      <c r="AD22" s="202"/>
      <c r="AE22" s="202"/>
      <c r="AF22" s="202"/>
      <c r="AG22" s="202"/>
      <c r="AH22" s="202"/>
      <c r="AI22" s="202"/>
      <c r="AJ22" s="202"/>
      <c r="AK22" s="202"/>
      <c r="AL22" s="12"/>
      <c r="AM22" s="202"/>
      <c r="AN22" s="202"/>
      <c r="AO22" s="202"/>
      <c r="AP22" s="202"/>
      <c r="AQ22" s="202"/>
    </row>
    <row r="23" spans="1:48" ht="15" customHeight="1" thickTop="1" thickBot="1">
      <c r="D23" s="1593" t="s">
        <v>893</v>
      </c>
      <c r="E23" s="1951"/>
      <c r="F23" s="1951"/>
      <c r="G23" s="1951"/>
      <c r="H23" s="1951"/>
      <c r="I23" s="1951"/>
      <c r="J23" s="1951"/>
      <c r="K23" s="1951"/>
      <c r="L23" s="1951"/>
      <c r="M23" s="1951"/>
      <c r="N23" s="1951"/>
      <c r="O23" s="58"/>
      <c r="P23" s="202"/>
      <c r="Q23" s="1593" t="s">
        <v>893</v>
      </c>
      <c r="R23" s="1593"/>
      <c r="S23" s="1593"/>
      <c r="T23" s="1593"/>
      <c r="U23" s="58"/>
      <c r="AA23" s="1593" t="s">
        <v>893</v>
      </c>
      <c r="AB23" s="1951"/>
      <c r="AC23" s="1951"/>
      <c r="AD23" s="1951"/>
      <c r="AE23" s="1951"/>
      <c r="AF23" s="1951"/>
      <c r="AG23" s="1951"/>
      <c r="AH23" s="1951"/>
      <c r="AI23" s="1951"/>
      <c r="AJ23" s="1951"/>
      <c r="AK23" s="1951"/>
      <c r="AL23" s="510" t="str">
        <f>IF(O23="","",(O23))</f>
        <v/>
      </c>
      <c r="AM23" s="511" t="b">
        <f>IF(O23&gt;0,TRUE,FALSE)</f>
        <v>0</v>
      </c>
      <c r="AN23" s="1593" t="s">
        <v>893</v>
      </c>
      <c r="AO23" s="1593"/>
      <c r="AP23" s="1593"/>
      <c r="AQ23" s="1593"/>
      <c r="AR23" s="180" t="str">
        <f>IF(U23="","",(U23))</f>
        <v/>
      </c>
      <c r="AS23" s="511" t="b">
        <f>IF(U23&gt;0,TRUE,FALSE)</f>
        <v>0</v>
      </c>
    </row>
    <row r="24" spans="1:48" ht="6" customHeight="1" thickTop="1" thickBot="1">
      <c r="E24" s="202"/>
      <c r="F24" s="202"/>
      <c r="G24" s="202"/>
      <c r="H24" s="202"/>
      <c r="I24" s="202"/>
      <c r="J24" s="202"/>
      <c r="K24" s="202"/>
      <c r="L24" s="202"/>
      <c r="M24" s="202"/>
      <c r="N24" s="202"/>
      <c r="O24" s="12"/>
      <c r="P24" s="202"/>
      <c r="Q24" s="202"/>
      <c r="R24" s="202"/>
      <c r="S24" s="202"/>
      <c r="T24" s="202"/>
      <c r="U24" s="12"/>
      <c r="AB24" s="202"/>
      <c r="AC24" s="202"/>
      <c r="AD24" s="202"/>
      <c r="AE24" s="202"/>
      <c r="AF24" s="202"/>
      <c r="AG24" s="202"/>
      <c r="AH24" s="202"/>
      <c r="AI24" s="202"/>
      <c r="AJ24" s="202"/>
      <c r="AK24" s="202"/>
      <c r="AL24" s="12"/>
      <c r="AM24" s="202"/>
      <c r="AN24" s="202"/>
      <c r="AO24" s="202"/>
      <c r="AP24" s="202"/>
      <c r="AQ24" s="202"/>
    </row>
    <row r="25" spans="1:48" ht="15" customHeight="1" thickTop="1" thickBot="1">
      <c r="D25" s="1593" t="s">
        <v>894</v>
      </c>
      <c r="E25" s="1951"/>
      <c r="F25" s="1951"/>
      <c r="G25" s="1951"/>
      <c r="H25" s="1951"/>
      <c r="I25" s="1951"/>
      <c r="J25" s="1951"/>
      <c r="K25" s="1951"/>
      <c r="L25" s="1951"/>
      <c r="M25" s="1951"/>
      <c r="N25" s="1951"/>
      <c r="O25" s="58"/>
      <c r="P25" s="202"/>
      <c r="Q25" s="202" t="s">
        <v>895</v>
      </c>
      <c r="R25" s="1605"/>
      <c r="S25" s="1605"/>
      <c r="T25" s="202"/>
      <c r="U25" s="58"/>
      <c r="AA25" s="1593" t="s">
        <v>894</v>
      </c>
      <c r="AB25" s="1951"/>
      <c r="AC25" s="1951"/>
      <c r="AD25" s="1951"/>
      <c r="AE25" s="1951"/>
      <c r="AF25" s="1951"/>
      <c r="AG25" s="1951"/>
      <c r="AH25" s="1951"/>
      <c r="AI25" s="1951"/>
      <c r="AJ25" s="1951"/>
      <c r="AK25" s="1951"/>
      <c r="AL25" s="510" t="str">
        <f>IF(O25="","",(O25))</f>
        <v/>
      </c>
      <c r="AM25" s="511" t="b">
        <f>IF(O25&gt;0,TRUE,FALSE)</f>
        <v>0</v>
      </c>
      <c r="AN25" s="202" t="s">
        <v>895</v>
      </c>
      <c r="AO25" s="2202" t="str">
        <f>IF(R25="","",(R25))</f>
        <v/>
      </c>
      <c r="AP25" s="2202" t="str">
        <f>IF(S25="","",(S25))</f>
        <v/>
      </c>
      <c r="AQ25" s="202"/>
      <c r="AR25" s="180" t="str">
        <f>IF(U25="","",(U25))</f>
        <v/>
      </c>
      <c r="AS25" s="511" t="b">
        <f>IF(U25&gt;0,TRUE,FALSE)</f>
        <v>0</v>
      </c>
    </row>
    <row r="26" spans="1:48" ht="6" customHeight="1" thickTop="1" thickBot="1">
      <c r="E26" s="202"/>
      <c r="F26" s="202"/>
      <c r="G26" s="202"/>
      <c r="H26" s="202"/>
      <c r="I26" s="202"/>
      <c r="J26" s="202"/>
      <c r="K26" s="202"/>
      <c r="L26" s="202"/>
      <c r="M26" s="202"/>
      <c r="N26" s="202"/>
      <c r="O26" s="12"/>
      <c r="P26" s="202"/>
      <c r="Q26" s="202"/>
      <c r="R26" s="202"/>
      <c r="S26" s="202"/>
      <c r="T26" s="202"/>
      <c r="AB26" s="202"/>
      <c r="AC26" s="202"/>
      <c r="AD26" s="202"/>
      <c r="AE26" s="202"/>
      <c r="AF26" s="202"/>
      <c r="AG26" s="202"/>
      <c r="AH26" s="202"/>
      <c r="AI26" s="202"/>
      <c r="AJ26" s="202"/>
      <c r="AK26" s="202"/>
      <c r="AL26" s="12"/>
      <c r="AM26" s="202"/>
      <c r="AN26" s="202"/>
      <c r="AO26" s="202"/>
      <c r="AP26" s="202"/>
      <c r="AQ26" s="202"/>
    </row>
    <row r="27" spans="1:48" ht="15" customHeight="1" thickTop="1" thickBot="1">
      <c r="D27" s="1950" t="s">
        <v>2661</v>
      </c>
      <c r="E27" s="1950"/>
      <c r="F27" s="1950"/>
      <c r="G27" s="1950"/>
      <c r="H27" s="1950"/>
      <c r="I27" s="1950"/>
      <c r="J27" s="1950"/>
      <c r="K27" s="1950"/>
      <c r="L27" s="1950"/>
      <c r="M27" s="1950"/>
      <c r="N27" s="2210"/>
      <c r="O27" s="58"/>
      <c r="P27" s="202"/>
      <c r="Q27" s="202"/>
      <c r="R27" s="202"/>
      <c r="S27" s="202"/>
      <c r="T27" s="202"/>
      <c r="AA27" s="1593" t="s">
        <v>895</v>
      </c>
      <c r="AB27" s="1951"/>
      <c r="AC27" s="1951"/>
      <c r="AD27" s="202"/>
      <c r="AE27" s="2202" t="str">
        <f t="shared" ref="AE27:AJ27" si="0">IF(D27="","",(D27))</f>
        <v>HTF Program</v>
      </c>
      <c r="AF27" s="2202" t="str">
        <f t="shared" si="0"/>
        <v/>
      </c>
      <c r="AG27" s="2202" t="str">
        <f t="shared" si="0"/>
        <v/>
      </c>
      <c r="AH27" s="2202" t="str">
        <f t="shared" si="0"/>
        <v/>
      </c>
      <c r="AI27" s="2202" t="str">
        <f t="shared" si="0"/>
        <v/>
      </c>
      <c r="AJ27" s="2202" t="str">
        <f t="shared" si="0"/>
        <v/>
      </c>
      <c r="AK27" s="202"/>
      <c r="AL27" s="510" t="str">
        <f>IF(O27="","",(O27))</f>
        <v/>
      </c>
      <c r="AM27" s="511" t="b">
        <f>IF(O27&gt;0,TRUE,FALSE)</f>
        <v>0</v>
      </c>
      <c r="AN27" s="202"/>
      <c r="AO27" s="202"/>
      <c r="AP27" s="202"/>
      <c r="AQ27" s="202"/>
    </row>
    <row r="28" spans="1:48" ht="6" customHeight="1" thickTop="1" thickBot="1">
      <c r="E28" s="202"/>
      <c r="F28" s="202"/>
      <c r="G28" s="202"/>
      <c r="H28" s="202"/>
      <c r="I28" s="202"/>
      <c r="J28" s="202"/>
      <c r="K28" s="202"/>
      <c r="L28" s="202"/>
      <c r="M28" s="202"/>
      <c r="N28" s="202"/>
      <c r="O28" s="12"/>
      <c r="P28" s="202"/>
      <c r="Q28" s="202"/>
      <c r="R28" s="202"/>
      <c r="S28" s="202"/>
      <c r="T28" s="202"/>
      <c r="AB28" s="202"/>
      <c r="AC28" s="202"/>
      <c r="AD28" s="202"/>
      <c r="AE28" s="202"/>
      <c r="AF28" s="202"/>
      <c r="AG28" s="202"/>
      <c r="AH28" s="202"/>
      <c r="AI28" s="202"/>
      <c r="AJ28" s="202"/>
      <c r="AK28" s="202"/>
      <c r="AL28" s="12"/>
      <c r="AM28" s="202"/>
      <c r="AN28" s="202"/>
      <c r="AO28" s="202"/>
      <c r="AP28" s="202"/>
      <c r="AQ28" s="202"/>
    </row>
    <row r="29" spans="1:48" ht="15" customHeight="1" thickTop="1" thickBot="1">
      <c r="D29" s="1593" t="s">
        <v>895</v>
      </c>
      <c r="E29" s="1951"/>
      <c r="F29" s="1951"/>
      <c r="G29" s="202"/>
      <c r="H29" s="1605"/>
      <c r="I29" s="1605"/>
      <c r="J29" s="1605"/>
      <c r="K29" s="1605"/>
      <c r="L29" s="1605"/>
      <c r="M29" s="1605"/>
      <c r="N29" s="202"/>
      <c r="O29" s="58"/>
      <c r="P29" s="202"/>
      <c r="Q29" s="202"/>
      <c r="R29" s="202"/>
      <c r="S29" s="202"/>
      <c r="T29" s="202"/>
      <c r="AA29" s="1593" t="s">
        <v>895</v>
      </c>
      <c r="AB29" s="1951"/>
      <c r="AC29" s="1951"/>
      <c r="AD29" s="202"/>
      <c r="AE29" s="2202" t="str">
        <f t="shared" ref="AE29:AJ29" si="1">IF(H29="","",(H29))</f>
        <v/>
      </c>
      <c r="AF29" s="2202" t="str">
        <f t="shared" si="1"/>
        <v/>
      </c>
      <c r="AG29" s="2202" t="str">
        <f t="shared" si="1"/>
        <v/>
      </c>
      <c r="AH29" s="2202" t="str">
        <f t="shared" si="1"/>
        <v/>
      </c>
      <c r="AI29" s="2202" t="str">
        <f t="shared" si="1"/>
        <v/>
      </c>
      <c r="AJ29" s="2202" t="str">
        <f t="shared" si="1"/>
        <v/>
      </c>
      <c r="AK29" s="202"/>
      <c r="AL29" s="510" t="str">
        <f>IF(O29="","",(O29))</f>
        <v/>
      </c>
      <c r="AM29" s="511" t="b">
        <f>IF(O29&gt;0,TRUE,FALSE)</f>
        <v>0</v>
      </c>
      <c r="AN29" s="202"/>
      <c r="AO29" s="202"/>
      <c r="AP29" s="202"/>
      <c r="AQ29" s="202"/>
    </row>
    <row r="30" spans="1:48" ht="6" customHeight="1" thickTop="1">
      <c r="O30" s="12"/>
    </row>
    <row r="31" spans="1:48" s="1497" customFormat="1" ht="12" customHeight="1">
      <c r="O31" s="1499"/>
      <c r="W31" s="6"/>
      <c r="AV31" s="6"/>
    </row>
    <row r="32" spans="1:48" ht="26.1" customHeight="1" thickBot="1">
      <c r="A32" s="12"/>
      <c r="B32" s="85"/>
      <c r="C32" s="512">
        <v>3</v>
      </c>
      <c r="D32" s="1656" t="s">
        <v>1504</v>
      </c>
      <c r="E32" s="1656"/>
      <c r="F32" s="1656"/>
      <c r="G32" s="1656"/>
      <c r="H32" s="1656"/>
      <c r="I32" s="1656"/>
      <c r="J32" s="1656"/>
      <c r="K32" s="1656"/>
      <c r="L32" s="1656"/>
      <c r="M32" s="1656"/>
      <c r="N32" s="1656"/>
      <c r="O32" s="1656"/>
      <c r="P32" s="1656"/>
      <c r="Q32" s="1656"/>
      <c r="R32" s="1656"/>
      <c r="S32" s="1656"/>
      <c r="T32" s="1656"/>
      <c r="U32" s="13"/>
      <c r="X32" s="12"/>
      <c r="Y32" s="85"/>
      <c r="Z32" s="512">
        <v>3</v>
      </c>
      <c r="AA32" s="1656" t="s">
        <v>1504</v>
      </c>
      <c r="AB32" s="1656"/>
      <c r="AC32" s="1656"/>
      <c r="AD32" s="1656"/>
      <c r="AE32" s="1656"/>
      <c r="AF32" s="1656"/>
      <c r="AG32" s="1656"/>
      <c r="AH32" s="1656"/>
      <c r="AI32" s="1656"/>
      <c r="AJ32" s="1656"/>
      <c r="AK32" s="1656"/>
      <c r="AL32" s="1656"/>
      <c r="AM32" s="1656"/>
      <c r="AN32" s="1656"/>
      <c r="AO32" s="1656"/>
      <c r="AP32" s="1656"/>
      <c r="AQ32" s="1656"/>
      <c r="AR32" s="513"/>
    </row>
    <row r="33" spans="3:48" ht="6" customHeight="1" thickTop="1">
      <c r="D33" s="202"/>
      <c r="E33" s="202"/>
      <c r="F33" s="202"/>
      <c r="G33" s="202"/>
      <c r="H33" s="202"/>
      <c r="I33" s="202"/>
      <c r="J33" s="202"/>
      <c r="K33" s="202"/>
      <c r="L33" s="202"/>
      <c r="M33" s="202"/>
      <c r="N33" s="202"/>
      <c r="O33" s="202"/>
      <c r="P33" s="202"/>
      <c r="Q33" s="202"/>
      <c r="R33" s="202"/>
      <c r="S33" s="202"/>
      <c r="T33" s="202"/>
      <c r="AA33" s="202"/>
      <c r="AB33" s="202"/>
      <c r="AC33" s="202"/>
      <c r="AD33" s="202"/>
      <c r="AE33" s="202"/>
      <c r="AF33" s="202"/>
      <c r="AG33" s="202"/>
      <c r="AH33" s="202"/>
      <c r="AI33" s="202"/>
      <c r="AJ33" s="202"/>
      <c r="AK33" s="202"/>
      <c r="AL33" s="202"/>
      <c r="AM33" s="202"/>
      <c r="AN33" s="202"/>
      <c r="AO33" s="202"/>
      <c r="AP33" s="202"/>
      <c r="AQ33" s="202"/>
    </row>
    <row r="34" spans="3:48" ht="26.1" customHeight="1">
      <c r="D34" s="1736" t="s">
        <v>2061</v>
      </c>
      <c r="E34" s="1736"/>
      <c r="F34" s="1736"/>
      <c r="G34" s="1736"/>
      <c r="H34" s="1736"/>
      <c r="I34" s="1736"/>
      <c r="J34" s="1736"/>
      <c r="K34" s="1736"/>
      <c r="L34" s="1736"/>
      <c r="M34" s="1736"/>
      <c r="N34" s="1736"/>
      <c r="O34" s="1736"/>
      <c r="P34" s="1736"/>
      <c r="Q34" s="1736"/>
      <c r="R34" s="1736"/>
      <c r="S34" s="1736"/>
      <c r="T34" s="1736"/>
      <c r="U34" s="1736"/>
      <c r="AA34" s="2198" t="s">
        <v>2061</v>
      </c>
      <c r="AB34" s="2198"/>
      <c r="AC34" s="2198"/>
      <c r="AD34" s="2198"/>
      <c r="AE34" s="2198"/>
      <c r="AF34" s="2198"/>
      <c r="AG34" s="2198"/>
      <c r="AH34" s="2198"/>
      <c r="AI34" s="2198"/>
      <c r="AJ34" s="2198"/>
      <c r="AK34" s="2198"/>
      <c r="AL34" s="2198"/>
      <c r="AM34" s="2198"/>
      <c r="AN34" s="2198"/>
      <c r="AO34" s="2198"/>
      <c r="AP34" s="2198"/>
      <c r="AQ34" s="2198"/>
      <c r="AR34" s="2198"/>
    </row>
    <row r="35" spans="3:48" ht="12" customHeight="1">
      <c r="D35" s="202"/>
      <c r="E35" s="202"/>
      <c r="F35" s="202"/>
      <c r="G35" s="202"/>
      <c r="H35" s="202"/>
      <c r="I35" s="202"/>
      <c r="J35" s="202"/>
      <c r="K35" s="202"/>
      <c r="L35" s="202"/>
      <c r="M35" s="202"/>
      <c r="N35" s="202"/>
      <c r="O35" s="202"/>
      <c r="P35" s="202"/>
      <c r="Q35" s="202"/>
      <c r="R35" s="202"/>
      <c r="S35" s="202"/>
      <c r="T35" s="202"/>
      <c r="AA35" s="202"/>
      <c r="AB35" s="202"/>
      <c r="AC35" s="202"/>
      <c r="AD35" s="202"/>
      <c r="AE35" s="202"/>
      <c r="AF35" s="202"/>
      <c r="AG35" s="202"/>
      <c r="AH35" s="202"/>
      <c r="AI35" s="202"/>
      <c r="AJ35" s="202"/>
      <c r="AK35" s="202"/>
      <c r="AL35" s="202"/>
      <c r="AM35" s="202"/>
      <c r="AN35" s="202"/>
      <c r="AO35" s="202"/>
      <c r="AP35" s="202"/>
      <c r="AQ35" s="202"/>
    </row>
    <row r="36" spans="3:48" ht="15" customHeight="1">
      <c r="C36" s="126">
        <v>4</v>
      </c>
      <c r="D36" s="1593" t="s">
        <v>897</v>
      </c>
      <c r="E36" s="1593"/>
      <c r="F36" s="1593"/>
      <c r="G36" s="1593"/>
      <c r="H36" s="1593"/>
      <c r="I36" s="1593"/>
      <c r="J36" s="1593"/>
      <c r="K36" s="1593"/>
      <c r="L36" s="1593"/>
      <c r="M36" s="1593"/>
      <c r="N36" s="1593"/>
      <c r="O36" s="1593"/>
      <c r="P36" s="1593"/>
      <c r="Q36" s="1593"/>
      <c r="R36" s="1593"/>
      <c r="S36" s="1593"/>
      <c r="T36" s="1593"/>
      <c r="U36" s="1593"/>
      <c r="Z36" s="126">
        <v>4</v>
      </c>
      <c r="AA36" s="1593" t="s">
        <v>897</v>
      </c>
      <c r="AB36" s="1593"/>
      <c r="AC36" s="1593"/>
      <c r="AD36" s="1593"/>
      <c r="AE36" s="1593"/>
      <c r="AF36" s="1593"/>
      <c r="AG36" s="1593"/>
      <c r="AH36" s="1593"/>
      <c r="AI36" s="1593"/>
      <c r="AJ36" s="1593"/>
      <c r="AK36" s="1593"/>
      <c r="AL36" s="1593"/>
      <c r="AM36" s="1593"/>
      <c r="AN36" s="1593"/>
      <c r="AO36" s="1593"/>
      <c r="AP36" s="1593"/>
      <c r="AQ36" s="1593"/>
      <c r="AR36" s="1593"/>
    </row>
    <row r="37" spans="3:48" ht="6" customHeight="1" thickBot="1">
      <c r="C37" s="126"/>
      <c r="D37" s="202"/>
      <c r="E37" s="202"/>
      <c r="F37" s="202"/>
      <c r="G37" s="202"/>
      <c r="H37" s="202"/>
      <c r="I37" s="202"/>
      <c r="J37" s="202"/>
      <c r="K37" s="202"/>
      <c r="L37" s="202"/>
      <c r="M37" s="202"/>
      <c r="N37" s="202"/>
      <c r="O37" s="202"/>
      <c r="P37" s="202"/>
      <c r="Q37" s="202"/>
      <c r="R37" s="202"/>
      <c r="S37" s="202"/>
      <c r="T37" s="202"/>
      <c r="U37" s="202"/>
      <c r="Z37" s="126"/>
      <c r="AA37" s="202"/>
      <c r="AB37" s="202"/>
      <c r="AC37" s="202"/>
      <c r="AD37" s="202"/>
      <c r="AE37" s="202"/>
      <c r="AF37" s="202"/>
      <c r="AG37" s="202"/>
      <c r="AH37" s="202"/>
      <c r="AI37" s="202"/>
      <c r="AJ37" s="202"/>
      <c r="AK37" s="202"/>
      <c r="AL37" s="202"/>
      <c r="AM37" s="202"/>
      <c r="AN37" s="202"/>
      <c r="AO37" s="202"/>
      <c r="AP37" s="202"/>
      <c r="AQ37" s="202"/>
      <c r="AR37" s="202"/>
    </row>
    <row r="38" spans="3:48" ht="15" customHeight="1" thickTop="1" thickBot="1">
      <c r="D38" s="202"/>
      <c r="E38" s="202"/>
      <c r="F38" s="202"/>
      <c r="G38" s="202"/>
      <c r="H38" s="202"/>
      <c r="I38" s="202"/>
      <c r="J38" s="202"/>
      <c r="K38" s="202"/>
      <c r="L38" s="202"/>
      <c r="M38" s="28"/>
      <c r="N38" s="514"/>
      <c r="O38" s="1780" t="s">
        <v>142</v>
      </c>
      <c r="P38" s="1781"/>
      <c r="Q38" s="305"/>
      <c r="R38" s="1780" t="s">
        <v>145</v>
      </c>
      <c r="S38" s="1843"/>
      <c r="T38" s="1781"/>
      <c r="U38" s="202"/>
      <c r="AA38" s="202"/>
      <c r="AB38" s="202"/>
      <c r="AC38" s="202"/>
      <c r="AD38" s="202"/>
      <c r="AE38" s="202"/>
      <c r="AF38" s="202"/>
      <c r="AG38" s="202"/>
      <c r="AH38" s="202"/>
      <c r="AI38" s="202"/>
      <c r="AJ38" s="28"/>
      <c r="AK38" s="514"/>
      <c r="AL38" s="1780" t="s">
        <v>142</v>
      </c>
      <c r="AM38" s="1781"/>
      <c r="AN38" s="305"/>
      <c r="AO38" s="1780" t="s">
        <v>145</v>
      </c>
      <c r="AP38" s="1843"/>
      <c r="AQ38" s="1781"/>
      <c r="AR38" s="202"/>
    </row>
    <row r="39" spans="3:48" ht="15" customHeight="1" thickTop="1" thickBot="1">
      <c r="D39" s="1593" t="s">
        <v>146</v>
      </c>
      <c r="E39" s="1593"/>
      <c r="F39" s="1593"/>
      <c r="G39" s="1593"/>
      <c r="H39" s="1593"/>
      <c r="I39" s="1593"/>
      <c r="J39" s="1593"/>
      <c r="K39" s="1593"/>
      <c r="L39" s="1593"/>
      <c r="M39" s="1593"/>
      <c r="N39" s="1995"/>
      <c r="O39" s="1657"/>
      <c r="P39" s="1658"/>
      <c r="Q39" s="26"/>
      <c r="R39" s="1657"/>
      <c r="S39" s="1651"/>
      <c r="T39" s="1658"/>
      <c r="AA39" s="1593" t="s">
        <v>146</v>
      </c>
      <c r="AB39" s="1593"/>
      <c r="AC39" s="1593"/>
      <c r="AD39" s="1593"/>
      <c r="AE39" s="1593"/>
      <c r="AF39" s="1593"/>
      <c r="AG39" s="1593"/>
      <c r="AH39" s="1593"/>
      <c r="AI39" s="1593"/>
      <c r="AJ39" s="1593"/>
      <c r="AK39" s="1995"/>
      <c r="AL39" s="1641"/>
      <c r="AM39" s="1643"/>
      <c r="AN39" s="26"/>
      <c r="AO39" s="1641"/>
      <c r="AP39" s="1642"/>
      <c r="AQ39" s="1643"/>
    </row>
    <row r="40" spans="3:48" ht="15" customHeight="1" thickTop="1" thickBot="1">
      <c r="D40" s="1593" t="s">
        <v>147</v>
      </c>
      <c r="E40" s="1593"/>
      <c r="F40" s="1593"/>
      <c r="G40" s="1593"/>
      <c r="H40" s="1593"/>
      <c r="I40" s="1593"/>
      <c r="J40" s="1593"/>
      <c r="K40" s="1593"/>
      <c r="L40" s="1593"/>
      <c r="M40" s="1593"/>
      <c r="N40" s="1995"/>
      <c r="O40" s="2207"/>
      <c r="P40" s="2208"/>
      <c r="Q40" s="515"/>
      <c r="R40" s="2207"/>
      <c r="S40" s="2209"/>
      <c r="T40" s="2208"/>
      <c r="AA40" s="1593" t="s">
        <v>147</v>
      </c>
      <c r="AB40" s="1593"/>
      <c r="AC40" s="1593"/>
      <c r="AD40" s="1593"/>
      <c r="AE40" s="1593"/>
      <c r="AF40" s="1593"/>
      <c r="AG40" s="1593"/>
      <c r="AH40" s="1593"/>
      <c r="AI40" s="1593"/>
      <c r="AJ40" s="1593"/>
      <c r="AK40" s="1995"/>
      <c r="AL40" s="2203"/>
      <c r="AM40" s="2205"/>
      <c r="AN40" s="515"/>
      <c r="AO40" s="2203"/>
      <c r="AP40" s="2204"/>
      <c r="AQ40" s="2205"/>
    </row>
    <row r="41" spans="3:48" ht="6" customHeight="1" thickTop="1">
      <c r="D41" s="202"/>
      <c r="E41" s="202"/>
      <c r="F41" s="202"/>
      <c r="G41" s="202"/>
      <c r="H41" s="202"/>
      <c r="I41" s="202"/>
      <c r="J41" s="202"/>
      <c r="K41" s="202"/>
      <c r="L41" s="202"/>
      <c r="M41" s="202"/>
      <c r="N41" s="202"/>
      <c r="O41" s="202"/>
      <c r="P41" s="202"/>
      <c r="Q41" s="202"/>
      <c r="R41" s="202"/>
      <c r="S41" s="202"/>
      <c r="T41" s="202"/>
      <c r="AA41" s="202"/>
      <c r="AB41" s="202"/>
      <c r="AC41" s="202"/>
      <c r="AD41" s="202"/>
      <c r="AE41" s="202"/>
      <c r="AF41" s="202"/>
      <c r="AG41" s="202"/>
      <c r="AH41" s="202"/>
      <c r="AI41" s="202"/>
      <c r="AJ41" s="202"/>
      <c r="AK41" s="202"/>
      <c r="AL41" s="202"/>
      <c r="AM41" s="202"/>
      <c r="AN41" s="202"/>
      <c r="AO41" s="202"/>
      <c r="AP41" s="202"/>
      <c r="AQ41" s="202"/>
    </row>
    <row r="42" spans="3:48" s="473" customFormat="1" ht="26.1" customHeight="1" thickBot="1">
      <c r="C42" s="158">
        <v>5</v>
      </c>
      <c r="D42" s="1656" t="s">
        <v>1505</v>
      </c>
      <c r="E42" s="1656"/>
      <c r="F42" s="1656"/>
      <c r="G42" s="1656"/>
      <c r="H42" s="1656"/>
      <c r="I42" s="1656"/>
      <c r="J42" s="1656"/>
      <c r="K42" s="1656"/>
      <c r="L42" s="1656"/>
      <c r="M42" s="1656"/>
      <c r="N42" s="1656"/>
      <c r="O42" s="1656"/>
      <c r="P42" s="1656"/>
      <c r="Q42" s="1656"/>
      <c r="R42" s="1656"/>
      <c r="S42" s="1656"/>
      <c r="T42" s="1656"/>
      <c r="U42" s="13"/>
      <c r="W42" s="517"/>
      <c r="Z42" s="516">
        <v>5</v>
      </c>
      <c r="AA42" s="1656" t="s">
        <v>1505</v>
      </c>
      <c r="AB42" s="1656"/>
      <c r="AC42" s="1656"/>
      <c r="AD42" s="1656"/>
      <c r="AE42" s="1656"/>
      <c r="AF42" s="1656"/>
      <c r="AG42" s="1656"/>
      <c r="AH42" s="1656"/>
      <c r="AI42" s="1656"/>
      <c r="AJ42" s="1656"/>
      <c r="AK42" s="1656"/>
      <c r="AL42" s="1656"/>
      <c r="AM42" s="1656"/>
      <c r="AN42" s="1656"/>
      <c r="AO42" s="1656"/>
      <c r="AP42" s="1656"/>
      <c r="AQ42" s="1656"/>
      <c r="AR42" s="513"/>
      <c r="AV42" s="517"/>
    </row>
    <row r="43" spans="3:48" ht="6" customHeight="1" thickTop="1">
      <c r="C43" s="12"/>
      <c r="D43" s="202"/>
      <c r="E43" s="202"/>
      <c r="F43" s="202"/>
      <c r="G43" s="202"/>
      <c r="H43" s="202"/>
      <c r="I43" s="202"/>
      <c r="J43" s="202"/>
      <c r="K43" s="202"/>
      <c r="L43" s="202"/>
      <c r="M43" s="202"/>
      <c r="N43" s="202"/>
      <c r="O43" s="202"/>
      <c r="P43" s="202"/>
      <c r="Q43" s="202"/>
      <c r="R43" s="202"/>
      <c r="S43" s="202"/>
      <c r="T43" s="202"/>
      <c r="Z43" s="12"/>
      <c r="AA43" s="202"/>
      <c r="AB43" s="202"/>
      <c r="AC43" s="202"/>
      <c r="AD43" s="202"/>
      <c r="AE43" s="202"/>
      <c r="AF43" s="202"/>
      <c r="AG43" s="202"/>
      <c r="AH43" s="202"/>
      <c r="AI43" s="202"/>
      <c r="AJ43" s="202"/>
      <c r="AK43" s="202"/>
      <c r="AL43" s="202"/>
      <c r="AM43" s="202"/>
      <c r="AN43" s="202"/>
      <c r="AO43" s="202"/>
      <c r="AP43" s="202"/>
      <c r="AQ43" s="202"/>
    </row>
    <row r="44" spans="3:48" ht="15" customHeight="1">
      <c r="C44" s="132">
        <v>6</v>
      </c>
      <c r="D44" s="1593" t="s">
        <v>898</v>
      </c>
      <c r="E44" s="1593"/>
      <c r="F44" s="1593"/>
      <c r="G44" s="1593"/>
      <c r="H44" s="1593"/>
      <c r="I44" s="1593"/>
      <c r="J44" s="1593"/>
      <c r="K44" s="1593"/>
      <c r="L44" s="1593"/>
      <c r="M44" s="1593"/>
      <c r="N44" s="1593"/>
      <c r="O44" s="1593"/>
      <c r="P44" s="1593"/>
      <c r="Q44" s="1593"/>
      <c r="R44" s="1593"/>
      <c r="S44" s="1593"/>
      <c r="T44" s="1593"/>
      <c r="U44" s="1593"/>
      <c r="Z44" s="132">
        <v>6</v>
      </c>
      <c r="AA44" s="1593" t="s">
        <v>898</v>
      </c>
      <c r="AB44" s="1593"/>
      <c r="AC44" s="1593"/>
      <c r="AD44" s="1593"/>
      <c r="AE44" s="1593"/>
      <c r="AF44" s="1593"/>
      <c r="AG44" s="1593"/>
      <c r="AH44" s="1593"/>
      <c r="AI44" s="1593"/>
      <c r="AJ44" s="1593"/>
      <c r="AK44" s="1593"/>
      <c r="AL44" s="1593"/>
      <c r="AM44" s="1593"/>
      <c r="AN44" s="1593"/>
      <c r="AO44" s="1593"/>
      <c r="AP44" s="1593"/>
      <c r="AQ44" s="1593"/>
      <c r="AR44" s="1593"/>
    </row>
    <row r="45" spans="3:48" ht="6" customHeight="1" thickBot="1">
      <c r="C45" s="132"/>
      <c r="D45" s="202"/>
      <c r="E45" s="202"/>
      <c r="F45" s="202"/>
      <c r="G45" s="202"/>
      <c r="H45" s="202"/>
      <c r="I45" s="202"/>
      <c r="J45" s="202"/>
      <c r="K45" s="202"/>
      <c r="L45" s="202"/>
      <c r="M45" s="202"/>
      <c r="N45" s="202"/>
      <c r="O45" s="202"/>
      <c r="P45" s="202"/>
      <c r="Q45" s="202"/>
      <c r="R45" s="202"/>
      <c r="S45" s="202"/>
      <c r="T45" s="202"/>
      <c r="U45" s="202"/>
      <c r="Z45" s="132"/>
      <c r="AA45" s="202"/>
      <c r="AB45" s="202"/>
      <c r="AC45" s="202"/>
      <c r="AD45" s="202"/>
      <c r="AE45" s="202"/>
      <c r="AF45" s="202"/>
      <c r="AG45" s="202"/>
      <c r="AH45" s="202"/>
      <c r="AI45" s="202"/>
      <c r="AJ45" s="202"/>
      <c r="AK45" s="202"/>
      <c r="AL45" s="202"/>
      <c r="AM45" s="202"/>
      <c r="AN45" s="202"/>
      <c r="AO45" s="202"/>
      <c r="AP45" s="202"/>
      <c r="AQ45" s="202"/>
      <c r="AR45" s="202"/>
    </row>
    <row r="46" spans="3:48" ht="15" customHeight="1" thickTop="1" thickBot="1">
      <c r="C46" s="125"/>
      <c r="D46" s="202" t="s">
        <v>41</v>
      </c>
      <c r="E46" s="202"/>
      <c r="F46" s="202"/>
      <c r="G46" s="202"/>
      <c r="H46" s="202"/>
      <c r="I46" s="202"/>
      <c r="J46" s="202"/>
      <c r="K46" s="202"/>
      <c r="L46" s="202"/>
      <c r="M46" s="28"/>
      <c r="N46" s="514"/>
      <c r="O46" s="1780" t="s">
        <v>142</v>
      </c>
      <c r="P46" s="1781"/>
      <c r="Q46" s="305"/>
      <c r="R46" s="1780" t="s">
        <v>145</v>
      </c>
      <c r="S46" s="1843"/>
      <c r="T46" s="1781"/>
      <c r="Z46" s="125"/>
      <c r="AA46" s="202" t="s">
        <v>41</v>
      </c>
      <c r="AB46" s="202"/>
      <c r="AC46" s="202"/>
      <c r="AD46" s="202"/>
      <c r="AE46" s="202"/>
      <c r="AF46" s="202"/>
      <c r="AG46" s="202"/>
      <c r="AH46" s="202"/>
      <c r="AI46" s="202"/>
      <c r="AJ46" s="28"/>
      <c r="AK46" s="514"/>
      <c r="AL46" s="1780" t="s">
        <v>142</v>
      </c>
      <c r="AM46" s="1781"/>
      <c r="AN46" s="305"/>
      <c r="AO46" s="1780" t="s">
        <v>145</v>
      </c>
      <c r="AP46" s="1843"/>
      <c r="AQ46" s="1781"/>
    </row>
    <row r="47" spans="3:48" ht="15" customHeight="1" thickTop="1" thickBot="1">
      <c r="C47" s="12"/>
      <c r="D47" s="1593" t="s">
        <v>146</v>
      </c>
      <c r="E47" s="1593"/>
      <c r="F47" s="1593"/>
      <c r="G47" s="1593"/>
      <c r="H47" s="1593"/>
      <c r="I47" s="1593"/>
      <c r="J47" s="1593"/>
      <c r="K47" s="1593"/>
      <c r="L47" s="1593"/>
      <c r="M47" s="1593"/>
      <c r="N47" s="1995"/>
      <c r="O47" s="1657"/>
      <c r="P47" s="1658"/>
      <c r="Q47" s="26"/>
      <c r="R47" s="1657"/>
      <c r="S47" s="1651"/>
      <c r="T47" s="1658"/>
      <c r="Z47" s="12"/>
      <c r="AA47" s="1593" t="s">
        <v>146</v>
      </c>
      <c r="AB47" s="1593"/>
      <c r="AC47" s="1593"/>
      <c r="AD47" s="1593"/>
      <c r="AE47" s="1593"/>
      <c r="AF47" s="1593"/>
      <c r="AG47" s="1593"/>
      <c r="AH47" s="1593"/>
      <c r="AI47" s="1593"/>
      <c r="AJ47" s="1593"/>
      <c r="AK47" s="1995"/>
      <c r="AL47" s="1641"/>
      <c r="AM47" s="1643"/>
      <c r="AN47" s="26"/>
      <c r="AO47" s="1641"/>
      <c r="AP47" s="1642"/>
      <c r="AQ47" s="1643"/>
    </row>
    <row r="48" spans="3:48" ht="15" customHeight="1" thickTop="1" thickBot="1">
      <c r="C48" s="12"/>
      <c r="D48" s="1593" t="s">
        <v>147</v>
      </c>
      <c r="E48" s="1593"/>
      <c r="F48" s="1593"/>
      <c r="G48" s="1593"/>
      <c r="H48" s="1593"/>
      <c r="I48" s="1593"/>
      <c r="J48" s="1593"/>
      <c r="K48" s="1593"/>
      <c r="L48" s="1593"/>
      <c r="M48" s="1593"/>
      <c r="N48" s="1995"/>
      <c r="O48" s="2207"/>
      <c r="P48" s="2208"/>
      <c r="Q48" s="515"/>
      <c r="R48" s="2207"/>
      <c r="S48" s="2209"/>
      <c r="T48" s="2208"/>
      <c r="Z48" s="12"/>
      <c r="AA48" s="1593" t="s">
        <v>147</v>
      </c>
      <c r="AB48" s="1593"/>
      <c r="AC48" s="1593"/>
      <c r="AD48" s="1593"/>
      <c r="AE48" s="1593"/>
      <c r="AF48" s="1593"/>
      <c r="AG48" s="1593"/>
      <c r="AH48" s="1593"/>
      <c r="AI48" s="1593"/>
      <c r="AJ48" s="1593"/>
      <c r="AK48" s="1995"/>
      <c r="AL48" s="2203"/>
      <c r="AM48" s="2205"/>
      <c r="AN48" s="515"/>
      <c r="AO48" s="2203"/>
      <c r="AP48" s="2204"/>
      <c r="AQ48" s="2205"/>
    </row>
    <row r="49" spans="1:45" ht="6" customHeight="1" thickTop="1"/>
    <row r="50" spans="1:45">
      <c r="B50" s="85" t="s">
        <v>54</v>
      </c>
      <c r="C50" s="1593" t="s">
        <v>906</v>
      </c>
      <c r="D50" s="1593"/>
      <c r="E50" s="1593"/>
      <c r="F50" s="1593"/>
      <c r="G50" s="1593"/>
      <c r="H50" s="1593"/>
      <c r="I50" s="1593"/>
      <c r="J50" s="1593"/>
      <c r="K50" s="1593"/>
      <c r="L50" s="1593"/>
      <c r="M50" s="1593"/>
      <c r="N50" s="1593"/>
      <c r="O50" s="1593"/>
      <c r="P50" s="1593"/>
      <c r="Q50" s="1593"/>
      <c r="R50" s="1593"/>
      <c r="S50" s="1593"/>
      <c r="T50" s="1593"/>
      <c r="U50" s="1593"/>
      <c r="Y50" s="85" t="s">
        <v>54</v>
      </c>
      <c r="Z50" s="1593" t="s">
        <v>906</v>
      </c>
      <c r="AA50" s="1593"/>
      <c r="AB50" s="1593"/>
      <c r="AC50" s="1593"/>
      <c r="AD50" s="1593"/>
      <c r="AE50" s="1593"/>
      <c r="AF50" s="1593"/>
      <c r="AG50" s="1593"/>
      <c r="AH50" s="1593"/>
      <c r="AI50" s="1593"/>
      <c r="AJ50" s="1593"/>
      <c r="AK50" s="1593"/>
      <c r="AL50" s="1593"/>
      <c r="AM50" s="1593"/>
      <c r="AN50" s="1593"/>
      <c r="AO50" s="1593"/>
      <c r="AP50" s="1593"/>
      <c r="AQ50" s="1593"/>
      <c r="AR50" s="1593"/>
    </row>
    <row r="51" spans="1:45" ht="12" customHeight="1" thickBot="1">
      <c r="C51" s="202"/>
      <c r="D51" s="202"/>
      <c r="E51" s="202"/>
      <c r="F51" s="202"/>
      <c r="G51" s="202"/>
      <c r="H51" s="202"/>
      <c r="I51" s="202"/>
      <c r="J51" s="202"/>
      <c r="K51" s="202"/>
      <c r="L51" s="202"/>
      <c r="M51" s="202"/>
      <c r="N51" s="202"/>
      <c r="O51" s="202"/>
      <c r="P51" s="202"/>
      <c r="Q51" s="202"/>
      <c r="R51" s="202"/>
      <c r="Z51" s="202"/>
      <c r="AA51" s="202"/>
      <c r="AB51" s="202"/>
      <c r="AC51" s="202"/>
      <c r="AD51" s="202"/>
      <c r="AE51" s="202"/>
      <c r="AF51" s="202"/>
      <c r="AG51" s="202"/>
      <c r="AH51" s="202"/>
      <c r="AI51" s="202"/>
      <c r="AJ51" s="202"/>
      <c r="AK51" s="202"/>
      <c r="AL51" s="202"/>
      <c r="AM51" s="202"/>
      <c r="AN51" s="202"/>
      <c r="AO51" s="202"/>
    </row>
    <row r="52" spans="1:45" ht="15" customHeight="1" thickTop="1" thickBot="1">
      <c r="C52" s="132">
        <v>1</v>
      </c>
      <c r="D52" s="1668" t="s">
        <v>899</v>
      </c>
      <c r="E52" s="1668"/>
      <c r="F52" s="1668"/>
      <c r="G52" s="1668"/>
      <c r="H52" s="1668"/>
      <c r="I52" s="1668"/>
      <c r="J52" s="1668"/>
      <c r="K52" s="1668"/>
      <c r="L52" s="1668"/>
      <c r="M52" s="1668"/>
      <c r="N52" s="1668"/>
      <c r="O52" s="1668"/>
      <c r="P52" s="1668"/>
      <c r="Q52" s="1668"/>
      <c r="R52" s="1668"/>
      <c r="S52" s="1668"/>
      <c r="T52" s="1668"/>
      <c r="U52" s="518"/>
      <c r="Z52" s="132">
        <v>1</v>
      </c>
      <c r="AA52" s="1668" t="s">
        <v>899</v>
      </c>
      <c r="AB52" s="1668"/>
      <c r="AC52" s="1668"/>
      <c r="AD52" s="1668"/>
      <c r="AE52" s="1668"/>
      <c r="AF52" s="1668"/>
      <c r="AG52" s="1668"/>
      <c r="AH52" s="1668"/>
      <c r="AI52" s="1668"/>
      <c r="AJ52" s="1668"/>
      <c r="AK52" s="1668"/>
      <c r="AL52" s="1668"/>
      <c r="AM52" s="1668"/>
      <c r="AN52" s="1668"/>
      <c r="AO52" s="1668"/>
      <c r="AP52" s="1668"/>
      <c r="AQ52" s="1668"/>
      <c r="AR52" s="519" t="str">
        <f>IF(U52="","",(U52))</f>
        <v/>
      </c>
      <c r="AS52" s="511" t="b">
        <f>IF(U52&gt;0,TRUE,FALSE)</f>
        <v>0</v>
      </c>
    </row>
    <row r="53" spans="1:45" ht="6" customHeight="1" thickTop="1" thickBot="1">
      <c r="C53" s="12"/>
      <c r="D53" s="202"/>
      <c r="E53" s="202"/>
      <c r="F53" s="202"/>
      <c r="G53" s="202"/>
      <c r="H53" s="202"/>
      <c r="I53" s="202"/>
      <c r="J53" s="202"/>
      <c r="K53" s="202"/>
      <c r="L53" s="202"/>
      <c r="M53" s="202"/>
      <c r="N53" s="202"/>
      <c r="O53" s="202"/>
      <c r="P53" s="202"/>
      <c r="Q53" s="202"/>
      <c r="R53" s="202"/>
      <c r="U53" s="12"/>
      <c r="Z53" s="12"/>
      <c r="AA53" s="202"/>
      <c r="AB53" s="202"/>
      <c r="AC53" s="202"/>
      <c r="AD53" s="202"/>
      <c r="AE53" s="202"/>
      <c r="AF53" s="202"/>
      <c r="AG53" s="202"/>
      <c r="AH53" s="202"/>
      <c r="AI53" s="202"/>
      <c r="AJ53" s="202"/>
      <c r="AK53" s="202"/>
      <c r="AL53" s="202"/>
      <c r="AM53" s="202"/>
      <c r="AN53" s="202"/>
      <c r="AO53" s="202"/>
      <c r="AR53" s="12"/>
    </row>
    <row r="54" spans="1:45" ht="15" customHeight="1" thickTop="1" thickBot="1">
      <c r="C54" s="132">
        <v>2</v>
      </c>
      <c r="D54" s="1668" t="s">
        <v>900</v>
      </c>
      <c r="E54" s="1668"/>
      <c r="F54" s="1668"/>
      <c r="G54" s="1668"/>
      <c r="H54" s="1668"/>
      <c r="I54" s="1668"/>
      <c r="J54" s="1668"/>
      <c r="K54" s="1668"/>
      <c r="L54" s="1668"/>
      <c r="M54" s="1668"/>
      <c r="N54" s="1668"/>
      <c r="O54" s="1668"/>
      <c r="P54" s="1668"/>
      <c r="Q54" s="1668"/>
      <c r="R54" s="1668"/>
      <c r="S54" s="1668"/>
      <c r="T54" s="1668"/>
      <c r="U54" s="518"/>
      <c r="Z54" s="132">
        <v>2</v>
      </c>
      <c r="AA54" s="1668" t="s">
        <v>900</v>
      </c>
      <c r="AB54" s="1668"/>
      <c r="AC54" s="1668"/>
      <c r="AD54" s="1668"/>
      <c r="AE54" s="1668"/>
      <c r="AF54" s="1668"/>
      <c r="AG54" s="1668"/>
      <c r="AH54" s="1668"/>
      <c r="AI54" s="1668"/>
      <c r="AJ54" s="1668"/>
      <c r="AK54" s="1668"/>
      <c r="AL54" s="1668"/>
      <c r="AM54" s="1668"/>
      <c r="AN54" s="1668"/>
      <c r="AO54" s="1668"/>
      <c r="AP54" s="1668"/>
      <c r="AQ54" s="1668"/>
      <c r="AR54" s="519" t="str">
        <f>IF(U54="","",(U54))</f>
        <v/>
      </c>
      <c r="AS54" s="511" t="b">
        <f>IF(U54&gt;0,TRUE,FALSE)</f>
        <v>0</v>
      </c>
    </row>
    <row r="55" spans="1:45" ht="6" customHeight="1" thickTop="1" thickBot="1">
      <c r="C55" s="132"/>
      <c r="D55" s="37"/>
      <c r="E55" s="37"/>
      <c r="F55" s="37"/>
      <c r="G55" s="37"/>
      <c r="H55" s="37"/>
      <c r="I55" s="37"/>
      <c r="J55" s="37"/>
      <c r="K55" s="37"/>
      <c r="L55" s="37"/>
      <c r="M55" s="37"/>
      <c r="N55" s="37"/>
      <c r="O55" s="37"/>
      <c r="P55" s="24"/>
      <c r="Q55" s="24"/>
      <c r="R55" s="24"/>
      <c r="S55" s="24"/>
      <c r="T55" s="24"/>
      <c r="U55" s="26"/>
      <c r="Z55" s="132"/>
      <c r="AA55" s="37"/>
      <c r="AB55" s="37"/>
      <c r="AC55" s="37"/>
      <c r="AD55" s="37"/>
      <c r="AE55" s="37"/>
      <c r="AF55" s="37"/>
      <c r="AG55" s="37"/>
      <c r="AH55" s="37"/>
      <c r="AI55" s="37"/>
      <c r="AJ55" s="37"/>
      <c r="AK55" s="37"/>
      <c r="AL55" s="37"/>
      <c r="AM55" s="24"/>
      <c r="AN55" s="24"/>
      <c r="AO55" s="24"/>
      <c r="AP55" s="24"/>
      <c r="AQ55" s="24"/>
      <c r="AR55" s="26"/>
    </row>
    <row r="56" spans="1:45" ht="15" customHeight="1" thickTop="1" thickBot="1">
      <c r="C56" s="132">
        <v>3</v>
      </c>
      <c r="D56" s="1668" t="s">
        <v>901</v>
      </c>
      <c r="E56" s="1668"/>
      <c r="F56" s="1668"/>
      <c r="G56" s="1668"/>
      <c r="H56" s="1668"/>
      <c r="I56" s="1668"/>
      <c r="J56" s="1668"/>
      <c r="K56" s="1668"/>
      <c r="L56" s="1668"/>
      <c r="M56" s="1668"/>
      <c r="N56" s="1668"/>
      <c r="O56" s="1668"/>
      <c r="P56" s="1674"/>
      <c r="Q56" s="1674"/>
      <c r="R56" s="1674"/>
      <c r="S56" s="1674"/>
      <c r="T56" s="157"/>
      <c r="U56" s="518"/>
      <c r="Z56" s="132">
        <v>3</v>
      </c>
      <c r="AA56" s="1668" t="s">
        <v>901</v>
      </c>
      <c r="AB56" s="1668"/>
      <c r="AC56" s="1668"/>
      <c r="AD56" s="1668"/>
      <c r="AE56" s="1668"/>
      <c r="AF56" s="1668"/>
      <c r="AG56" s="1668"/>
      <c r="AH56" s="1668"/>
      <c r="AI56" s="1668"/>
      <c r="AJ56" s="1668"/>
      <c r="AK56" s="1668"/>
      <c r="AL56" s="1668"/>
      <c r="AM56" s="2206" t="str">
        <f>IF(P56="","",(P56))</f>
        <v/>
      </c>
      <c r="AN56" s="2206" t="str">
        <f>IF(Q56="","",(Q56))</f>
        <v/>
      </c>
      <c r="AO56" s="2206" t="str">
        <f>IF(R56="","",(R56))</f>
        <v/>
      </c>
      <c r="AP56" s="2206" t="str">
        <f>IF(S56="","",(S56))</f>
        <v/>
      </c>
      <c r="AQ56" s="157"/>
      <c r="AR56" s="519" t="str">
        <f>IF(U56="","",(U56))</f>
        <v/>
      </c>
      <c r="AS56" s="511" t="b">
        <f>IF(U56&gt;0,TRUE,FALSE)</f>
        <v>0</v>
      </c>
    </row>
    <row r="57" spans="1:45" ht="6" customHeight="1" thickTop="1">
      <c r="C57" s="202"/>
      <c r="D57" s="202"/>
      <c r="E57" s="202"/>
      <c r="F57" s="202"/>
      <c r="G57" s="202"/>
      <c r="H57" s="202"/>
      <c r="I57" s="202"/>
      <c r="J57" s="202"/>
      <c r="K57" s="202"/>
      <c r="L57" s="202"/>
      <c r="M57" s="202"/>
      <c r="N57" s="202"/>
      <c r="O57" s="202"/>
      <c r="P57" s="202"/>
      <c r="Q57" s="202"/>
      <c r="R57" s="202"/>
      <c r="U57" s="12"/>
      <c r="Z57" s="202"/>
      <c r="AA57" s="202"/>
      <c r="AB57" s="202"/>
      <c r="AC57" s="202"/>
      <c r="AD57" s="202"/>
      <c r="AE57" s="202"/>
      <c r="AF57" s="202"/>
      <c r="AG57" s="202"/>
      <c r="AH57" s="202"/>
      <c r="AI57" s="202"/>
      <c r="AJ57" s="202"/>
      <c r="AK57" s="202"/>
      <c r="AL57" s="202"/>
      <c r="AM57" s="202"/>
      <c r="AN57" s="202"/>
      <c r="AO57" s="202"/>
      <c r="AR57" s="12"/>
    </row>
    <row r="58" spans="1:45" ht="15" customHeight="1" thickBot="1">
      <c r="C58" s="132">
        <v>4</v>
      </c>
      <c r="D58" s="1668" t="s">
        <v>907</v>
      </c>
      <c r="E58" s="1668"/>
      <c r="F58" s="1668"/>
      <c r="G58" s="1668"/>
      <c r="H58" s="1668"/>
      <c r="I58" s="1668"/>
      <c r="J58" s="1668"/>
      <c r="K58" s="1668"/>
      <c r="L58" s="1668"/>
      <c r="M58" s="1668"/>
      <c r="N58" s="1668"/>
      <c r="O58" s="1668"/>
      <c r="P58" s="1668"/>
      <c r="Q58" s="1668"/>
      <c r="R58" s="1668"/>
      <c r="S58" s="1668"/>
      <c r="T58" s="1668"/>
      <c r="U58" s="427"/>
      <c r="Z58" s="132">
        <v>2</v>
      </c>
      <c r="AA58" s="1668" t="s">
        <v>907</v>
      </c>
      <c r="AB58" s="1668"/>
      <c r="AC58" s="1668"/>
      <c r="AD58" s="1668"/>
      <c r="AE58" s="1668"/>
      <c r="AF58" s="1668"/>
      <c r="AG58" s="1668"/>
      <c r="AH58" s="1668"/>
      <c r="AI58" s="1668"/>
      <c r="AJ58" s="1668"/>
      <c r="AK58" s="1668"/>
      <c r="AL58" s="1668"/>
      <c r="AM58" s="1668"/>
      <c r="AN58" s="1668"/>
      <c r="AO58" s="1668"/>
      <c r="AP58" s="1668"/>
      <c r="AQ58" s="1668"/>
      <c r="AR58" s="520" t="str">
        <f>IF(U58="","",(U58))</f>
        <v/>
      </c>
    </row>
    <row r="59" spans="1:45" ht="6" customHeight="1" thickTop="1">
      <c r="C59" s="202"/>
      <c r="D59" s="202"/>
      <c r="E59" s="202"/>
      <c r="F59" s="202"/>
      <c r="G59" s="202"/>
      <c r="H59" s="202"/>
      <c r="I59" s="202"/>
      <c r="J59" s="202"/>
      <c r="K59" s="202"/>
      <c r="L59" s="202"/>
      <c r="M59" s="202"/>
      <c r="N59" s="202"/>
      <c r="O59" s="202"/>
      <c r="P59" s="202"/>
      <c r="Q59" s="202"/>
      <c r="R59" s="202"/>
      <c r="Z59" s="202"/>
      <c r="AA59" s="202"/>
      <c r="AB59" s="202"/>
      <c r="AC59" s="202"/>
      <c r="AD59" s="202"/>
      <c r="AE59" s="202"/>
      <c r="AF59" s="202"/>
      <c r="AG59" s="202"/>
      <c r="AH59" s="202"/>
      <c r="AI59" s="202"/>
      <c r="AJ59" s="202"/>
      <c r="AK59" s="202"/>
      <c r="AL59" s="202"/>
      <c r="AM59" s="202"/>
      <c r="AN59" s="202"/>
      <c r="AO59" s="202"/>
    </row>
    <row r="60" spans="1:45">
      <c r="B60" s="85" t="s">
        <v>55</v>
      </c>
      <c r="C60" s="1593" t="s">
        <v>149</v>
      </c>
      <c r="D60" s="1593"/>
      <c r="E60" s="1593"/>
      <c r="F60" s="1593"/>
      <c r="G60" s="1593"/>
      <c r="H60" s="1593"/>
      <c r="I60" s="1593"/>
      <c r="J60" s="1593"/>
      <c r="K60" s="1593"/>
      <c r="L60" s="1593"/>
      <c r="M60" s="1593"/>
      <c r="N60" s="1593"/>
      <c r="O60" s="1593"/>
      <c r="P60" s="1593"/>
      <c r="Q60" s="1593"/>
      <c r="R60" s="1593"/>
      <c r="S60" s="1593"/>
      <c r="T60" s="1593"/>
      <c r="U60" s="1593"/>
      <c r="Y60" s="85" t="s">
        <v>55</v>
      </c>
      <c r="Z60" s="1593" t="s">
        <v>149</v>
      </c>
      <c r="AA60" s="1593"/>
      <c r="AB60" s="1593"/>
      <c r="AC60" s="1593"/>
      <c r="AD60" s="1593"/>
      <c r="AE60" s="1593"/>
      <c r="AF60" s="1593"/>
      <c r="AG60" s="1593"/>
      <c r="AH60" s="1593"/>
      <c r="AI60" s="1593"/>
      <c r="AJ60" s="1593"/>
      <c r="AK60" s="1593"/>
      <c r="AL60" s="1593"/>
      <c r="AM60" s="1593"/>
      <c r="AN60" s="1593"/>
      <c r="AO60" s="1593"/>
      <c r="AP60" s="1593"/>
      <c r="AQ60" s="1593"/>
      <c r="AR60" s="1593"/>
    </row>
    <row r="61" spans="1:45" ht="12" customHeight="1">
      <c r="C61" s="202"/>
      <c r="D61" s="202"/>
      <c r="E61" s="202"/>
      <c r="F61" s="202"/>
      <c r="G61" s="202"/>
      <c r="H61" s="202"/>
      <c r="I61" s="202"/>
      <c r="J61" s="202"/>
      <c r="K61" s="202"/>
      <c r="L61" s="202"/>
      <c r="M61" s="202"/>
      <c r="N61" s="202"/>
      <c r="O61" s="202"/>
      <c r="P61" s="202"/>
      <c r="Q61" s="202"/>
      <c r="R61" s="202"/>
      <c r="Z61" s="202"/>
      <c r="AA61" s="202"/>
      <c r="AB61" s="202"/>
      <c r="AC61" s="202"/>
      <c r="AD61" s="202"/>
      <c r="AE61" s="202"/>
      <c r="AF61" s="202"/>
      <c r="AG61" s="202"/>
      <c r="AH61" s="202"/>
      <c r="AI61" s="202"/>
      <c r="AJ61" s="202"/>
      <c r="AK61" s="202"/>
      <c r="AL61" s="202"/>
      <c r="AM61" s="202"/>
      <c r="AN61" s="202"/>
      <c r="AO61" s="202"/>
    </row>
    <row r="62" spans="1:45" ht="15" customHeight="1" thickBot="1">
      <c r="A62" s="12"/>
      <c r="B62" s="85"/>
      <c r="C62" s="132">
        <v>1</v>
      </c>
      <c r="D62" s="1593" t="s">
        <v>902</v>
      </c>
      <c r="E62" s="1593"/>
      <c r="F62" s="1593"/>
      <c r="G62" s="1593"/>
      <c r="H62" s="1593"/>
      <c r="I62" s="1593"/>
      <c r="J62" s="1593"/>
      <c r="K62" s="1593"/>
      <c r="L62" s="1593"/>
      <c r="M62" s="1593"/>
      <c r="N62" s="1593"/>
      <c r="O62" s="1593"/>
      <c r="P62" s="1593"/>
      <c r="Q62" s="1593"/>
      <c r="R62" s="1593"/>
      <c r="S62" s="1593"/>
      <c r="T62" s="1593"/>
      <c r="U62" s="444"/>
      <c r="X62" s="12"/>
      <c r="Y62" s="85"/>
      <c r="Z62" s="132">
        <v>1</v>
      </c>
      <c r="AA62" s="1593" t="s">
        <v>902</v>
      </c>
      <c r="AB62" s="1593"/>
      <c r="AC62" s="1593"/>
      <c r="AD62" s="1593"/>
      <c r="AE62" s="1593"/>
      <c r="AF62" s="1593"/>
      <c r="AG62" s="1593"/>
      <c r="AH62" s="1593"/>
      <c r="AI62" s="1593"/>
      <c r="AJ62" s="1593"/>
      <c r="AK62" s="1593"/>
      <c r="AL62" s="1593"/>
      <c r="AM62" s="1593"/>
      <c r="AN62" s="1593"/>
      <c r="AO62" s="1593"/>
      <c r="AP62" s="1593"/>
      <c r="AQ62" s="1593"/>
      <c r="AR62" s="521"/>
    </row>
    <row r="63" spans="1:45" ht="6" customHeight="1" thickTop="1">
      <c r="C63" s="202"/>
      <c r="D63" s="202"/>
      <c r="E63" s="202"/>
      <c r="F63" s="202"/>
      <c r="G63" s="202"/>
      <c r="H63" s="202"/>
      <c r="I63" s="202"/>
      <c r="J63" s="202"/>
      <c r="K63" s="202"/>
      <c r="L63" s="202"/>
      <c r="M63" s="202"/>
      <c r="N63" s="202"/>
      <c r="O63" s="202"/>
      <c r="P63" s="202"/>
      <c r="Q63" s="202"/>
      <c r="R63" s="202"/>
      <c r="Z63" s="202"/>
      <c r="AA63" s="202"/>
      <c r="AB63" s="202"/>
      <c r="AC63" s="202"/>
      <c r="AD63" s="202"/>
      <c r="AE63" s="202"/>
      <c r="AF63" s="202"/>
      <c r="AG63" s="202"/>
      <c r="AH63" s="202"/>
      <c r="AI63" s="202"/>
      <c r="AJ63" s="202"/>
      <c r="AK63" s="202"/>
      <c r="AL63" s="202"/>
      <c r="AM63" s="202"/>
      <c r="AN63" s="202"/>
      <c r="AO63" s="202"/>
    </row>
    <row r="64" spans="1:45" ht="15" customHeight="1" thickBot="1">
      <c r="C64" s="132">
        <v>2</v>
      </c>
      <c r="D64" s="1593" t="s">
        <v>903</v>
      </c>
      <c r="E64" s="1593"/>
      <c r="F64" s="1593"/>
      <c r="G64" s="1593"/>
      <c r="H64" s="1593"/>
      <c r="I64" s="1593"/>
      <c r="J64" s="1593"/>
      <c r="K64" s="1593"/>
      <c r="L64" s="1593"/>
      <c r="M64" s="1593"/>
      <c r="N64" s="1593"/>
      <c r="O64" s="1593"/>
      <c r="P64" s="1593"/>
      <c r="Q64" s="1593"/>
      <c r="R64" s="1593"/>
      <c r="S64" s="1593"/>
      <c r="T64" s="1593"/>
      <c r="U64" s="444"/>
      <c r="Z64" s="132">
        <v>2</v>
      </c>
      <c r="AA64" s="1593" t="s">
        <v>903</v>
      </c>
      <c r="AB64" s="1593"/>
      <c r="AC64" s="1593"/>
      <c r="AD64" s="1593"/>
      <c r="AE64" s="1593"/>
      <c r="AF64" s="1593"/>
      <c r="AG64" s="1593"/>
      <c r="AH64" s="1593"/>
      <c r="AI64" s="1593"/>
      <c r="AJ64" s="1593"/>
      <c r="AK64" s="1593"/>
      <c r="AL64" s="1593"/>
      <c r="AM64" s="1593"/>
      <c r="AN64" s="1593"/>
      <c r="AO64" s="1593"/>
      <c r="AP64" s="1593"/>
      <c r="AQ64" s="1593"/>
      <c r="AR64" s="521"/>
    </row>
    <row r="65" spans="1:44" ht="6" customHeight="1" thickTop="1">
      <c r="D65" s="202"/>
      <c r="E65" s="202"/>
      <c r="F65" s="202"/>
      <c r="G65" s="202"/>
      <c r="H65" s="202"/>
      <c r="I65" s="202"/>
      <c r="J65" s="202"/>
      <c r="K65" s="202"/>
      <c r="L65" s="202"/>
      <c r="M65" s="202"/>
      <c r="N65" s="202"/>
      <c r="O65" s="202"/>
      <c r="P65" s="202"/>
      <c r="Q65" s="202"/>
      <c r="R65" s="202"/>
      <c r="AA65" s="202"/>
      <c r="AB65" s="202"/>
      <c r="AC65" s="202"/>
      <c r="AD65" s="202"/>
      <c r="AE65" s="202"/>
      <c r="AF65" s="202"/>
      <c r="AG65" s="202"/>
      <c r="AH65" s="202"/>
      <c r="AI65" s="202"/>
      <c r="AJ65" s="202"/>
      <c r="AK65" s="202"/>
      <c r="AL65" s="202"/>
      <c r="AM65" s="202"/>
      <c r="AN65" s="202"/>
      <c r="AO65" s="202"/>
    </row>
    <row r="66" spans="1:44" ht="25.5" customHeight="1" thickBot="1">
      <c r="A66" s="12"/>
      <c r="B66" s="85"/>
      <c r="C66" s="158">
        <v>3</v>
      </c>
      <c r="D66" s="1656" t="s">
        <v>1506</v>
      </c>
      <c r="E66" s="1656"/>
      <c r="F66" s="1656"/>
      <c r="G66" s="1656"/>
      <c r="H66" s="1656"/>
      <c r="I66" s="1656"/>
      <c r="J66" s="1656"/>
      <c r="K66" s="1656"/>
      <c r="L66" s="1656"/>
      <c r="M66" s="1656"/>
      <c r="N66" s="1656"/>
      <c r="O66" s="1656"/>
      <c r="P66" s="1656"/>
      <c r="Q66" s="1656"/>
      <c r="R66" s="1656"/>
      <c r="S66" s="1656"/>
      <c r="T66" s="1656"/>
      <c r="U66" s="444"/>
      <c r="X66" s="12"/>
      <c r="Y66" s="85"/>
      <c r="Z66" s="158">
        <v>3</v>
      </c>
      <c r="AA66" s="1656" t="s">
        <v>1506</v>
      </c>
      <c r="AB66" s="1656"/>
      <c r="AC66" s="1656"/>
      <c r="AD66" s="1656"/>
      <c r="AE66" s="1656"/>
      <c r="AF66" s="1656"/>
      <c r="AG66" s="1656"/>
      <c r="AH66" s="1656"/>
      <c r="AI66" s="1656"/>
      <c r="AJ66" s="1656"/>
      <c r="AK66" s="1656"/>
      <c r="AL66" s="1656"/>
      <c r="AM66" s="1656"/>
      <c r="AN66" s="1656"/>
      <c r="AO66" s="1656"/>
      <c r="AP66" s="1656"/>
      <c r="AQ66" s="1656"/>
      <c r="AR66" s="521"/>
    </row>
    <row r="67" spans="1:44" ht="6" customHeight="1" thickTop="1">
      <c r="A67" s="12"/>
      <c r="B67" s="85"/>
      <c r="C67" s="12"/>
      <c r="D67" s="202"/>
      <c r="E67" s="202"/>
      <c r="F67" s="202"/>
      <c r="G67" s="202"/>
      <c r="H67" s="202"/>
      <c r="I67" s="202"/>
      <c r="J67" s="202"/>
      <c r="K67" s="202"/>
      <c r="L67" s="202"/>
      <c r="M67" s="202"/>
      <c r="N67" s="202"/>
      <c r="O67" s="202"/>
      <c r="P67" s="202"/>
      <c r="Q67" s="202"/>
      <c r="R67" s="202"/>
      <c r="X67" s="12"/>
      <c r="Y67" s="85"/>
      <c r="Z67" s="12"/>
      <c r="AA67" s="202"/>
      <c r="AB67" s="202"/>
      <c r="AC67" s="202"/>
      <c r="AD67" s="202"/>
      <c r="AE67" s="202"/>
      <c r="AF67" s="202"/>
      <c r="AG67" s="202"/>
      <c r="AH67" s="202"/>
      <c r="AI67" s="202"/>
      <c r="AJ67" s="202"/>
      <c r="AK67" s="202"/>
      <c r="AL67" s="202"/>
      <c r="AM67" s="202"/>
      <c r="AN67" s="202"/>
      <c r="AO67" s="202"/>
    </row>
    <row r="68" spans="1:44" ht="39" customHeight="1" thickBot="1">
      <c r="B68" s="85"/>
      <c r="C68" s="158">
        <v>4</v>
      </c>
      <c r="D68" s="1656" t="s">
        <v>2195</v>
      </c>
      <c r="E68" s="1656"/>
      <c r="F68" s="1656"/>
      <c r="G68" s="1656"/>
      <c r="H68" s="1656"/>
      <c r="I68" s="1656"/>
      <c r="J68" s="1656"/>
      <c r="K68" s="1656"/>
      <c r="L68" s="1656"/>
      <c r="M68" s="1656"/>
      <c r="N68" s="1656"/>
      <c r="O68" s="1656"/>
      <c r="P68" s="1656"/>
      <c r="Q68" s="1656"/>
      <c r="R68" s="1656"/>
      <c r="S68" s="1656"/>
      <c r="T68" s="1656"/>
      <c r="U68" s="444"/>
      <c r="Y68" s="85"/>
      <c r="Z68" s="158">
        <v>4</v>
      </c>
      <c r="AA68" s="1656" t="s">
        <v>904</v>
      </c>
      <c r="AB68" s="1656"/>
      <c r="AC68" s="1656"/>
      <c r="AD68" s="1656"/>
      <c r="AE68" s="1656"/>
      <c r="AF68" s="1656"/>
      <c r="AG68" s="1656"/>
      <c r="AH68" s="1656"/>
      <c r="AI68" s="1656"/>
      <c r="AJ68" s="1656"/>
      <c r="AK68" s="1656"/>
      <c r="AL68" s="1656"/>
      <c r="AM68" s="1656"/>
      <c r="AN68" s="1656"/>
      <c r="AO68" s="1656"/>
      <c r="AP68" s="1656"/>
      <c r="AQ68" s="1656"/>
      <c r="AR68" s="521"/>
    </row>
    <row r="69" spans="1:44" ht="13.5" thickTop="1"/>
  </sheetData>
  <sheetProtection algorithmName="SHA-512" hashValue="0IBeTLtAYfGAQDhxe+ona8fG4rJ5VWLSZEs9tVnXujgaPhTwQfeoz2h3aT7DThbHK82uANLOpbW7hoqGVYJVIA==" saltValue="ztWYofQReAQvQjxX3dCAOg==" spinCount="100000" sheet="1" objects="1" scenarios="1"/>
  <mergeCells count="109">
    <mergeCell ref="D27:N27"/>
    <mergeCell ref="D62:T62"/>
    <mergeCell ref="D64:T64"/>
    <mergeCell ref="D66:T66"/>
    <mergeCell ref="D68:T68"/>
    <mergeCell ref="D54:T54"/>
    <mergeCell ref="D56:O56"/>
    <mergeCell ref="P56:S56"/>
    <mergeCell ref="D58:T58"/>
    <mergeCell ref="C60:U60"/>
    <mergeCell ref="C50:U50"/>
    <mergeCell ref="D52:T52"/>
    <mergeCell ref="D42:T42"/>
    <mergeCell ref="D44:U44"/>
    <mergeCell ref="O46:P46"/>
    <mergeCell ref="R46:T46"/>
    <mergeCell ref="D47:N47"/>
    <mergeCell ref="O47:P47"/>
    <mergeCell ref="R47:T47"/>
    <mergeCell ref="B3:R3"/>
    <mergeCell ref="C5:R5"/>
    <mergeCell ref="D7:T7"/>
    <mergeCell ref="D11:N11"/>
    <mergeCell ref="Q11:T11"/>
    <mergeCell ref="D25:N25"/>
    <mergeCell ref="R25:S25"/>
    <mergeCell ref="D19:N19"/>
    <mergeCell ref="Q19:T19"/>
    <mergeCell ref="D21:N21"/>
    <mergeCell ref="Q21:T21"/>
    <mergeCell ref="D23:N23"/>
    <mergeCell ref="Q23:T23"/>
    <mergeCell ref="D13:N13"/>
    <mergeCell ref="Q13:T13"/>
    <mergeCell ref="D15:N15"/>
    <mergeCell ref="Q15:T15"/>
    <mergeCell ref="D17:N17"/>
    <mergeCell ref="Q17:T17"/>
    <mergeCell ref="AN19:AQ19"/>
    <mergeCell ref="AN21:AQ21"/>
    <mergeCell ref="AN23:AQ23"/>
    <mergeCell ref="AO25:AP25"/>
    <mergeCell ref="AE27:AJ27"/>
    <mergeCell ref="AA19:AK19"/>
    <mergeCell ref="AA21:AK21"/>
    <mergeCell ref="AA23:AK23"/>
    <mergeCell ref="AA25:AK25"/>
    <mergeCell ref="AA27:AC27"/>
    <mergeCell ref="AL46:AM46"/>
    <mergeCell ref="AL47:AM47"/>
    <mergeCell ref="AL48:AM48"/>
    <mergeCell ref="AO46:AQ46"/>
    <mergeCell ref="AO47:AQ47"/>
    <mergeCell ref="AO48:AQ48"/>
    <mergeCell ref="AL40:AM40"/>
    <mergeCell ref="AA34:AR34"/>
    <mergeCell ref="D29:F29"/>
    <mergeCell ref="H29:M29"/>
    <mergeCell ref="D39:N39"/>
    <mergeCell ref="O39:P39"/>
    <mergeCell ref="R39:T39"/>
    <mergeCell ref="D40:N40"/>
    <mergeCell ref="O40:P40"/>
    <mergeCell ref="R40:T40"/>
    <mergeCell ref="D32:T32"/>
    <mergeCell ref="D34:U34"/>
    <mergeCell ref="D36:U36"/>
    <mergeCell ref="O38:P38"/>
    <mergeCell ref="R38:T38"/>
    <mergeCell ref="D48:N48"/>
    <mergeCell ref="O48:P48"/>
    <mergeCell ref="R48:T48"/>
    <mergeCell ref="AA68:AQ68"/>
    <mergeCell ref="AA47:AK47"/>
    <mergeCell ref="AA48:AK48"/>
    <mergeCell ref="Z50:AR50"/>
    <mergeCell ref="AA52:AQ52"/>
    <mergeCell ref="AA54:AQ54"/>
    <mergeCell ref="AA56:AL56"/>
    <mergeCell ref="AM56:AP56"/>
    <mergeCell ref="AA62:AQ62"/>
    <mergeCell ref="AA64:AQ64"/>
    <mergeCell ref="AA66:AQ66"/>
    <mergeCell ref="Z60:AR60"/>
    <mergeCell ref="AA58:AQ58"/>
    <mergeCell ref="Y3:AO3"/>
    <mergeCell ref="Z5:AO5"/>
    <mergeCell ref="AA7:AQ7"/>
    <mergeCell ref="AN15:AQ15"/>
    <mergeCell ref="AN17:AQ17"/>
    <mergeCell ref="AA11:AK11"/>
    <mergeCell ref="AN11:AQ11"/>
    <mergeCell ref="AN13:AQ13"/>
    <mergeCell ref="AA44:AR44"/>
    <mergeCell ref="AA29:AC29"/>
    <mergeCell ref="AA32:AQ32"/>
    <mergeCell ref="AE29:AJ29"/>
    <mergeCell ref="AL38:AM38"/>
    <mergeCell ref="AL39:AM39"/>
    <mergeCell ref="AA36:AR36"/>
    <mergeCell ref="AA42:AQ42"/>
    <mergeCell ref="AO38:AQ38"/>
    <mergeCell ref="AO39:AQ39"/>
    <mergeCell ref="AO40:AQ40"/>
    <mergeCell ref="AA39:AK39"/>
    <mergeCell ref="AA40:AK40"/>
    <mergeCell ref="AA13:AK13"/>
    <mergeCell ref="AA15:AK15"/>
    <mergeCell ref="AA17:AK17"/>
  </mergeCells>
  <dataValidations count="2">
    <dataValidation type="list" allowBlank="1" showInputMessage="1" showErrorMessage="1" sqref="AR7 U68 U66 U62 U64 U58 U7 AR68 AR66 AR62 AR64 AR58" xr:uid="{00000000-0002-0000-2500-000000000000}">
      <formula1>$AT$3:$AT$4</formula1>
    </dataValidation>
    <dataValidation type="list" allowBlank="1" showInputMessage="1" showErrorMessage="1" sqref="AR32 U42 U32 AR42" xr:uid="{00000000-0002-0000-2500-000001000000}">
      <formula1>$AU$3:$AU$5</formula1>
    </dataValidation>
  </dataValidations>
  <pageMargins left="0.75" right="0.5" top="0.5" bottom="0.75" header="0" footer="0.5"/>
  <pageSetup scale="80" firstPageNumber="17" orientation="portrait" r:id="rId1"/>
  <headerFooter alignWithMargins="0">
    <oddFooter>&amp;C&amp;A&amp;R&amp;D &amp;T</oddFooter>
  </headerFooter>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5">
    <pageSetUpPr fitToPage="1"/>
  </sheetPr>
  <dimension ref="A1:AQ64"/>
  <sheetViews>
    <sheetView workbookViewId="0"/>
  </sheetViews>
  <sheetFormatPr defaultColWidth="10.7109375" defaultRowHeight="15" customHeight="1"/>
  <cols>
    <col min="1" max="1" width="5.7109375" style="4" bestFit="1" customWidth="1"/>
    <col min="2" max="4" width="2.7109375" style="4" customWidth="1"/>
    <col min="5" max="5" width="4.7109375" style="4" customWidth="1"/>
    <col min="6" max="10" width="6.7109375" style="4" customWidth="1"/>
    <col min="11" max="11" width="7.28515625" style="4" customWidth="1"/>
    <col min="12" max="12" width="10.28515625" style="4" customWidth="1"/>
    <col min="13" max="13" width="4.7109375" style="4" customWidth="1"/>
    <col min="14" max="14" width="6.28515625" style="4" customWidth="1"/>
    <col min="15" max="15" width="22" style="4" customWidth="1"/>
    <col min="16" max="16" width="14.7109375" style="4" customWidth="1"/>
    <col min="17" max="17" width="10.7109375" style="4"/>
    <col min="18" max="18" width="5.7109375" style="6" customWidth="1"/>
    <col min="19" max="19" width="5.7109375" style="4" hidden="1" customWidth="1"/>
    <col min="20" max="22" width="2.7109375" style="4" hidden="1" customWidth="1"/>
    <col min="23" max="23" width="4.7109375" style="4" hidden="1" customWidth="1"/>
    <col min="24" max="28" width="6.7109375" style="4" hidden="1" customWidth="1"/>
    <col min="29" max="29" width="7.28515625" style="4" hidden="1" customWidth="1"/>
    <col min="30" max="30" width="10.28515625" style="4" hidden="1" customWidth="1"/>
    <col min="31" max="31" width="4.7109375" style="4" hidden="1" customWidth="1"/>
    <col min="32" max="32" width="6.28515625" style="4" hidden="1" customWidth="1"/>
    <col min="33" max="33" width="22" style="4" hidden="1" customWidth="1"/>
    <col min="34" max="34" width="12.7109375" style="4" hidden="1" customWidth="1"/>
    <col min="35" max="35" width="2.7109375" style="4" hidden="1" customWidth="1"/>
    <col min="36" max="39" width="10.7109375" style="4" hidden="1" customWidth="1"/>
    <col min="40" max="40" width="5.7109375" style="6" customWidth="1"/>
    <col min="41" max="45" width="10.7109375" style="4" customWidth="1"/>
    <col min="46" max="16384" width="10.7109375" style="4"/>
  </cols>
  <sheetData>
    <row r="1" spans="1:43" s="814" customFormat="1" ht="12.75" customHeight="1">
      <c r="A1" s="1302" t="str">
        <f>IF('FORM 1040-1'!D15="","",'FORM 1040-1'!D15)</f>
        <v/>
      </c>
      <c r="B1" s="1303"/>
      <c r="C1" s="1303"/>
      <c r="D1" s="1303"/>
      <c r="E1" s="1303"/>
      <c r="F1" s="1303"/>
      <c r="G1" s="1303"/>
      <c r="H1" s="1303"/>
      <c r="I1" s="1303"/>
      <c r="J1" s="1303"/>
      <c r="K1" s="1303"/>
      <c r="L1" s="1303"/>
      <c r="M1" s="1303"/>
      <c r="N1" s="1303"/>
      <c r="O1" s="1303"/>
      <c r="P1" s="1294" t="str">
        <f>IF('FORM 1040-1'!$E$12="","",'FORM 1040-1'!$E$12)</f>
        <v/>
      </c>
      <c r="R1" s="6"/>
      <c r="AN1" s="6"/>
    </row>
    <row r="2" spans="1:43" s="814" customFormat="1" ht="15" customHeight="1">
      <c r="R2" s="6"/>
      <c r="AN2" s="6"/>
    </row>
    <row r="3" spans="1:43" ht="15" customHeight="1">
      <c r="A3" s="12" t="s">
        <v>915</v>
      </c>
      <c r="B3" s="1593" t="s">
        <v>263</v>
      </c>
      <c r="C3" s="1593"/>
      <c r="D3" s="1593"/>
      <c r="E3" s="1593"/>
      <c r="F3" s="1593"/>
      <c r="G3" s="1593"/>
      <c r="H3" s="1593"/>
      <c r="I3" s="1593"/>
      <c r="J3" s="1593"/>
      <c r="K3" s="1593"/>
      <c r="L3" s="1593"/>
      <c r="M3" s="1593"/>
      <c r="N3" s="1593"/>
      <c r="O3" s="1593"/>
      <c r="P3" s="1593"/>
      <c r="S3" s="12" t="s">
        <v>915</v>
      </c>
      <c r="T3" s="1593" t="s">
        <v>263</v>
      </c>
      <c r="U3" s="1593"/>
      <c r="V3" s="1593"/>
      <c r="W3" s="1593"/>
      <c r="X3" s="1593"/>
      <c r="Y3" s="1593"/>
      <c r="Z3" s="1593"/>
      <c r="AA3" s="1593"/>
      <c r="AB3" s="1593"/>
      <c r="AC3" s="1593"/>
      <c r="AD3" s="1593"/>
      <c r="AE3" s="1593"/>
      <c r="AF3" s="1593"/>
      <c r="AG3" s="1593"/>
      <c r="AH3" s="1593"/>
      <c r="AI3" s="37"/>
      <c r="AJ3" s="37"/>
      <c r="AK3" s="37"/>
      <c r="AL3" s="22" t="b">
        <v>1</v>
      </c>
      <c r="AM3" s="22" t="b">
        <v>1</v>
      </c>
      <c r="AO3" s="37"/>
      <c r="AP3" s="37"/>
    </row>
    <row r="4" spans="1:43" ht="9.9499999999999993" customHeight="1">
      <c r="A4" s="12"/>
      <c r="B4" s="85"/>
      <c r="C4" s="202"/>
      <c r="D4" s="202"/>
      <c r="E4" s="202"/>
      <c r="F4" s="202"/>
      <c r="G4" s="202"/>
      <c r="H4" s="202"/>
      <c r="I4" s="202"/>
      <c r="J4" s="202"/>
      <c r="K4" s="202"/>
      <c r="L4" s="202"/>
      <c r="M4" s="202"/>
      <c r="N4" s="202"/>
      <c r="O4" s="202"/>
      <c r="P4" s="202"/>
      <c r="S4" s="12"/>
      <c r="T4" s="85"/>
      <c r="U4" s="202"/>
      <c r="V4" s="202"/>
      <c r="W4" s="202"/>
      <c r="X4" s="202"/>
      <c r="Y4" s="202"/>
      <c r="Z4" s="202"/>
      <c r="AA4" s="202"/>
      <c r="AB4" s="202"/>
      <c r="AC4" s="202"/>
      <c r="AD4" s="202"/>
      <c r="AE4" s="202"/>
      <c r="AF4" s="202"/>
      <c r="AG4" s="202"/>
      <c r="AH4" s="202"/>
      <c r="AI4" s="37"/>
      <c r="AJ4" s="37"/>
      <c r="AK4" s="37"/>
      <c r="AL4" s="22" t="b">
        <v>0</v>
      </c>
      <c r="AM4" s="22" t="b">
        <v>0</v>
      </c>
      <c r="AO4" s="37"/>
      <c r="AP4" s="37"/>
    </row>
    <row r="5" spans="1:43" s="202" customFormat="1" ht="15" customHeight="1" thickBot="1">
      <c r="B5" s="85" t="s">
        <v>53</v>
      </c>
      <c r="C5" s="1694" t="s">
        <v>830</v>
      </c>
      <c r="D5" s="1694"/>
      <c r="E5" s="1694"/>
      <c r="F5" s="1694"/>
      <c r="G5" s="1694"/>
      <c r="H5" s="1694"/>
      <c r="I5" s="1694"/>
      <c r="J5" s="1694"/>
      <c r="K5" s="1694"/>
      <c r="L5" s="1694"/>
      <c r="M5" s="1607"/>
      <c r="N5" s="1607"/>
      <c r="O5" s="1607"/>
      <c r="P5" s="1607"/>
      <c r="R5" s="270"/>
      <c r="T5" s="85" t="s">
        <v>53</v>
      </c>
      <c r="U5" s="1593" t="s">
        <v>830</v>
      </c>
      <c r="V5" s="1593"/>
      <c r="W5" s="1593"/>
      <c r="X5" s="1593"/>
      <c r="Y5" s="1593"/>
      <c r="Z5" s="1593"/>
      <c r="AA5" s="1593"/>
      <c r="AB5" s="1593"/>
      <c r="AC5" s="1593"/>
      <c r="AD5" s="1593"/>
      <c r="AE5" s="1593"/>
      <c r="AF5" s="1372"/>
      <c r="AG5" s="1372"/>
      <c r="AH5" s="1372"/>
      <c r="AI5" s="37"/>
      <c r="AM5" s="293" t="s">
        <v>312</v>
      </c>
      <c r="AN5" s="270"/>
    </row>
    <row r="6" spans="1:43" s="912" customFormat="1" ht="15" customHeight="1" thickTop="1">
      <c r="B6" s="91"/>
      <c r="C6" s="2214" t="s">
        <v>2879</v>
      </c>
      <c r="D6" s="2214"/>
      <c r="E6" s="2214"/>
      <c r="F6" s="2214"/>
      <c r="G6" s="2214"/>
      <c r="H6" s="2214"/>
      <c r="I6" s="2214"/>
      <c r="J6" s="2214"/>
      <c r="K6" s="2214"/>
      <c r="L6" s="2214"/>
      <c r="M6" s="2214"/>
      <c r="N6" s="2214"/>
      <c r="O6" s="2214"/>
      <c r="P6" s="2214"/>
      <c r="R6" s="270"/>
      <c r="T6" s="91"/>
      <c r="AF6" s="1372"/>
      <c r="AG6" s="906"/>
      <c r="AH6" s="906"/>
      <c r="AI6" s="437"/>
      <c r="AM6" s="87"/>
      <c r="AN6" s="270"/>
    </row>
    <row r="7" spans="1:43" s="202" customFormat="1" ht="9.9499999999999993" customHeight="1">
      <c r="R7" s="270"/>
      <c r="AN7" s="270"/>
    </row>
    <row r="8" spans="1:43" s="202" customFormat="1" ht="15" customHeight="1" thickBot="1">
      <c r="B8" s="85" t="s">
        <v>54</v>
      </c>
      <c r="C8" s="1593" t="s">
        <v>167</v>
      </c>
      <c r="D8" s="1593"/>
      <c r="E8" s="1593"/>
      <c r="F8" s="1593"/>
      <c r="G8" s="1593"/>
      <c r="H8" s="1593"/>
      <c r="I8" s="1593"/>
      <c r="J8" s="1593"/>
      <c r="K8" s="1593"/>
      <c r="L8" s="1593"/>
      <c r="M8" s="1593"/>
      <c r="N8" s="1634" t="str">
        <f>IF('FORM 1040-17'!Q33="","",'FORM 1040-17'!Q33)</f>
        <v/>
      </c>
      <c r="O8" s="1634"/>
      <c r="P8" s="1634"/>
      <c r="R8" s="270"/>
      <c r="T8" s="85" t="s">
        <v>54</v>
      </c>
      <c r="U8" s="1593" t="s">
        <v>167</v>
      </c>
      <c r="V8" s="1593"/>
      <c r="W8" s="1593"/>
      <c r="X8" s="1593"/>
      <c r="Y8" s="1593"/>
      <c r="Z8" s="1593"/>
      <c r="AA8" s="1593"/>
      <c r="AB8" s="1593"/>
      <c r="AC8" s="1593"/>
      <c r="AD8" s="1593"/>
      <c r="AE8" s="1593"/>
      <c r="AF8" s="2211" t="str">
        <f>IF(N8="","",(N8))</f>
        <v/>
      </c>
      <c r="AG8" s="1952"/>
      <c r="AH8" s="1952"/>
      <c r="AI8" s="37"/>
      <c r="AN8" s="270"/>
    </row>
    <row r="9" spans="1:43" ht="9.9499999999999993" customHeight="1" thickTop="1">
      <c r="A9" s="12"/>
      <c r="B9" s="85"/>
      <c r="C9" s="202"/>
      <c r="D9" s="202"/>
      <c r="E9" s="202"/>
      <c r="F9" s="202"/>
      <c r="G9" s="202"/>
      <c r="H9" s="202"/>
      <c r="I9" s="202"/>
      <c r="J9" s="202"/>
      <c r="K9" s="202"/>
      <c r="L9" s="202"/>
      <c r="M9" s="202"/>
      <c r="N9" s="202"/>
      <c r="O9" s="202"/>
      <c r="P9" s="202"/>
      <c r="S9" s="12"/>
      <c r="T9" s="85"/>
      <c r="U9" s="202"/>
      <c r="V9" s="202"/>
      <c r="W9" s="202"/>
      <c r="X9" s="202"/>
      <c r="Y9" s="202"/>
      <c r="Z9" s="202"/>
      <c r="AA9" s="202"/>
      <c r="AB9" s="202"/>
      <c r="AC9" s="202"/>
      <c r="AD9" s="202"/>
      <c r="AE9" s="202"/>
      <c r="AF9" s="202"/>
      <c r="AG9" s="202"/>
      <c r="AH9" s="202"/>
      <c r="AI9" s="37"/>
      <c r="AJ9" s="37"/>
      <c r="AK9" s="37"/>
      <c r="AL9" s="37"/>
      <c r="AM9" s="37"/>
      <c r="AO9" s="37"/>
      <c r="AP9" s="37"/>
    </row>
    <row r="10" spans="1:43" s="202" customFormat="1" ht="15" customHeight="1" thickBot="1">
      <c r="B10" s="85" t="s">
        <v>55</v>
      </c>
      <c r="C10" s="1593" t="s">
        <v>168</v>
      </c>
      <c r="D10" s="1593"/>
      <c r="E10" s="1593"/>
      <c r="F10" s="1593"/>
      <c r="G10" s="1593"/>
      <c r="H10" s="1593"/>
      <c r="I10" s="1593"/>
      <c r="J10" s="1593"/>
      <c r="K10" s="1593"/>
      <c r="L10" s="1593"/>
      <c r="M10" s="1593"/>
      <c r="N10" s="1607"/>
      <c r="O10" s="1607"/>
      <c r="P10" s="1607"/>
      <c r="R10" s="270"/>
      <c r="T10" s="85" t="s">
        <v>55</v>
      </c>
      <c r="U10" s="1593" t="s">
        <v>168</v>
      </c>
      <c r="V10" s="1593"/>
      <c r="W10" s="1593"/>
      <c r="X10" s="1593"/>
      <c r="Y10" s="1593"/>
      <c r="Z10" s="1593"/>
      <c r="AA10" s="1593"/>
      <c r="AB10" s="1593"/>
      <c r="AC10" s="1593"/>
      <c r="AD10" s="1593"/>
      <c r="AE10" s="1593"/>
      <c r="AF10" s="1372"/>
      <c r="AG10" s="1372"/>
      <c r="AH10" s="1372"/>
      <c r="AI10" s="37"/>
      <c r="AN10" s="270"/>
    </row>
    <row r="11" spans="1:43" s="912" customFormat="1" ht="15" customHeight="1" thickTop="1" thickBot="1">
      <c r="B11" s="91"/>
      <c r="C11" s="2075" t="s">
        <v>2058</v>
      </c>
      <c r="D11" s="2075"/>
      <c r="E11" s="2075"/>
      <c r="F11" s="2075"/>
      <c r="G11" s="2075"/>
      <c r="H11" s="1605"/>
      <c r="I11" s="1605"/>
      <c r="J11" s="1605"/>
      <c r="K11" s="1605"/>
      <c r="L11" s="1605"/>
      <c r="M11" s="1235"/>
      <c r="N11" s="1230"/>
      <c r="O11" s="1230"/>
      <c r="P11" s="1230"/>
      <c r="Q11" s="1235"/>
      <c r="R11" s="270"/>
      <c r="T11" s="91"/>
      <c r="AF11" s="1372"/>
      <c r="AG11" s="1372"/>
      <c r="AH11" s="1372"/>
      <c r="AI11" s="437"/>
      <c r="AN11" s="270"/>
    </row>
    <row r="12" spans="1:43" ht="9.9499999999999993" customHeight="1" thickTop="1">
      <c r="A12" s="12"/>
      <c r="B12" s="85"/>
      <c r="C12" s="202"/>
      <c r="D12" s="202"/>
      <c r="E12" s="202"/>
      <c r="F12" s="202"/>
      <c r="G12" s="202"/>
      <c r="H12" s="202"/>
      <c r="I12" s="202"/>
      <c r="J12" s="202"/>
      <c r="K12" s="202"/>
      <c r="L12" s="202"/>
      <c r="M12" s="202"/>
      <c r="N12" s="202"/>
      <c r="O12" s="202"/>
      <c r="P12" s="202"/>
      <c r="S12" s="12"/>
      <c r="T12" s="85"/>
      <c r="U12" s="202"/>
      <c r="V12" s="202"/>
      <c r="W12" s="202"/>
      <c r="X12" s="202"/>
      <c r="Y12" s="202"/>
      <c r="Z12" s="202"/>
      <c r="AA12" s="202"/>
      <c r="AB12" s="202"/>
      <c r="AC12" s="202"/>
      <c r="AD12" s="202"/>
      <c r="AE12" s="202"/>
      <c r="AF12" s="202"/>
      <c r="AG12" s="202"/>
      <c r="AH12" s="202"/>
      <c r="AI12" s="37"/>
      <c r="AJ12" s="37"/>
      <c r="AK12" s="37"/>
      <c r="AL12" s="37"/>
      <c r="AM12" s="37"/>
      <c r="AO12" s="37"/>
      <c r="AP12" s="37"/>
    </row>
    <row r="13" spans="1:43" s="40" customFormat="1" ht="15" customHeight="1">
      <c r="A13" s="202"/>
      <c r="B13" s="85" t="s">
        <v>56</v>
      </c>
      <c r="C13" s="1593" t="s">
        <v>301</v>
      </c>
      <c r="D13" s="1593"/>
      <c r="E13" s="1593"/>
      <c r="F13" s="1593"/>
      <c r="G13" s="1593"/>
      <c r="H13" s="1593"/>
      <c r="I13" s="1593"/>
      <c r="J13" s="1593"/>
      <c r="K13" s="1593"/>
      <c r="L13" s="1593"/>
      <c r="M13" s="1593"/>
      <c r="N13" s="1593"/>
      <c r="O13" s="1593"/>
      <c r="P13" s="1593"/>
      <c r="R13" s="41"/>
      <c r="S13" s="202"/>
      <c r="T13" s="85" t="s">
        <v>56</v>
      </c>
      <c r="U13" s="1593" t="s">
        <v>301</v>
      </c>
      <c r="V13" s="1593"/>
      <c r="W13" s="1593"/>
      <c r="X13" s="1593"/>
      <c r="Y13" s="1593"/>
      <c r="Z13" s="1593"/>
      <c r="AA13" s="1593"/>
      <c r="AB13" s="1593"/>
      <c r="AC13" s="1593"/>
      <c r="AD13" s="1593"/>
      <c r="AE13" s="1593"/>
      <c r="AF13" s="1593"/>
      <c r="AG13" s="1593"/>
      <c r="AH13" s="1593"/>
      <c r="AI13" s="37"/>
      <c r="AJ13" s="37"/>
      <c r="AK13" s="37"/>
      <c r="AL13" s="37"/>
      <c r="AM13" s="37"/>
      <c r="AN13" s="41"/>
      <c r="AO13" s="37"/>
      <c r="AP13" s="26"/>
      <c r="AQ13" s="202"/>
    </row>
    <row r="14" spans="1:43" s="40" customFormat="1" ht="6" customHeight="1" thickBot="1">
      <c r="B14" s="202"/>
      <c r="C14" s="202"/>
      <c r="D14" s="202"/>
      <c r="E14" s="202"/>
      <c r="F14" s="202"/>
      <c r="G14" s="202"/>
      <c r="H14" s="202"/>
      <c r="I14" s="202"/>
      <c r="J14" s="202"/>
      <c r="K14" s="202"/>
      <c r="L14" s="202"/>
      <c r="M14" s="202"/>
      <c r="N14" s="202"/>
      <c r="O14" s="202"/>
      <c r="P14" s="202"/>
      <c r="R14" s="41"/>
      <c r="T14" s="202"/>
      <c r="U14" s="202"/>
      <c r="V14" s="202"/>
      <c r="W14" s="202"/>
      <c r="X14" s="202"/>
      <c r="Y14" s="202"/>
      <c r="Z14" s="202"/>
      <c r="AA14" s="202"/>
      <c r="AB14" s="202"/>
      <c r="AC14" s="202"/>
      <c r="AD14" s="202"/>
      <c r="AE14" s="202"/>
      <c r="AF14" s="202"/>
      <c r="AG14" s="202"/>
      <c r="AH14" s="202"/>
      <c r="AI14" s="202"/>
      <c r="AJ14" s="202"/>
      <c r="AK14" s="202"/>
      <c r="AL14" s="202"/>
      <c r="AM14" s="202"/>
      <c r="AN14" s="41"/>
      <c r="AO14" s="202"/>
      <c r="AP14" s="21"/>
      <c r="AQ14" s="21"/>
    </row>
    <row r="15" spans="1:43" s="40" customFormat="1" ht="16.5" customHeight="1" thickTop="1" thickBot="1">
      <c r="B15" s="85"/>
      <c r="C15" s="132">
        <v>1</v>
      </c>
      <c r="D15" s="1593" t="s">
        <v>2391</v>
      </c>
      <c r="E15" s="1593"/>
      <c r="F15" s="1593"/>
      <c r="G15" s="1593"/>
      <c r="H15" s="1593"/>
      <c r="I15" s="1593"/>
      <c r="J15" s="1593"/>
      <c r="K15" s="1593"/>
      <c r="L15" s="396">
        <f>+'FORM 1040-22'!F51</f>
        <v>0</v>
      </c>
      <c r="M15" s="202"/>
      <c r="N15" s="969"/>
      <c r="O15" s="969"/>
      <c r="P15" s="969"/>
      <c r="R15" s="41"/>
      <c r="T15" s="85"/>
      <c r="U15" s="132">
        <v>1</v>
      </c>
      <c r="V15" s="1593" t="s">
        <v>299</v>
      </c>
      <c r="W15" s="1593"/>
      <c r="X15" s="1593"/>
      <c r="Y15" s="1593"/>
      <c r="Z15" s="1593"/>
      <c r="AA15" s="1593"/>
      <c r="AB15" s="1593"/>
      <c r="AC15" s="1593"/>
      <c r="AD15" s="14"/>
      <c r="AE15" s="202"/>
      <c r="AF15" s="85" t="s">
        <v>319</v>
      </c>
      <c r="AG15" s="1616"/>
      <c r="AH15" s="1616"/>
      <c r="AI15" s="24"/>
      <c r="AJ15" s="37"/>
      <c r="AK15" s="37"/>
      <c r="AL15" s="37"/>
      <c r="AM15" s="37"/>
      <c r="AN15" s="41"/>
      <c r="AO15" s="37"/>
      <c r="AP15" s="26"/>
      <c r="AQ15" s="21"/>
    </row>
    <row r="16" spans="1:43" s="40" customFormat="1" ht="6" customHeight="1" thickTop="1" thickBot="1">
      <c r="B16" s="85"/>
      <c r="C16" s="85"/>
      <c r="D16" s="202"/>
      <c r="E16" s="202"/>
      <c r="F16" s="202"/>
      <c r="G16" s="202"/>
      <c r="H16" s="202"/>
      <c r="I16" s="202"/>
      <c r="J16" s="202"/>
      <c r="K16" s="202"/>
      <c r="L16" s="202"/>
      <c r="M16" s="202"/>
      <c r="N16" s="202"/>
      <c r="O16" s="202"/>
      <c r="P16" s="202"/>
      <c r="R16" s="41"/>
      <c r="T16" s="85"/>
      <c r="U16" s="85"/>
      <c r="V16" s="202"/>
      <c r="W16" s="202"/>
      <c r="X16" s="202"/>
      <c r="Y16" s="202"/>
      <c r="Z16" s="202"/>
      <c r="AA16" s="202"/>
      <c r="AB16" s="202"/>
      <c r="AC16" s="202"/>
      <c r="AD16" s="202"/>
      <c r="AE16" s="202"/>
      <c r="AF16" s="202"/>
      <c r="AG16" s="202"/>
      <c r="AH16" s="202"/>
      <c r="AI16" s="202"/>
      <c r="AJ16" s="202"/>
      <c r="AK16" s="202"/>
      <c r="AL16" s="202"/>
      <c r="AM16" s="202"/>
      <c r="AN16" s="41"/>
      <c r="AO16" s="202"/>
      <c r="AP16" s="26"/>
      <c r="AQ16" s="21"/>
    </row>
    <row r="17" spans="2:43" s="40" customFormat="1" ht="16.5" customHeight="1" thickTop="1" thickBot="1">
      <c r="B17" s="85"/>
      <c r="C17" s="132">
        <v>2</v>
      </c>
      <c r="D17" s="1593" t="s">
        <v>304</v>
      </c>
      <c r="E17" s="1593"/>
      <c r="F17" s="1593"/>
      <c r="G17" s="1593"/>
      <c r="H17" s="1593"/>
      <c r="I17" s="1593"/>
      <c r="J17" s="1593"/>
      <c r="K17" s="1593"/>
      <c r="L17" s="396">
        <f>+'FORM 1040-11'!D44</f>
        <v>0</v>
      </c>
      <c r="M17" s="202"/>
      <c r="N17" s="37"/>
      <c r="O17" s="37" t="s">
        <v>865</v>
      </c>
      <c r="P17" s="396">
        <f>+'FORM 1040-2'!BA50</f>
        <v>0</v>
      </c>
      <c r="R17" s="41"/>
      <c r="T17" s="85"/>
      <c r="U17" s="132">
        <v>2</v>
      </c>
      <c r="V17" s="1593" t="s">
        <v>304</v>
      </c>
      <c r="W17" s="1593"/>
      <c r="X17" s="1593"/>
      <c r="Y17" s="1593"/>
      <c r="Z17" s="1593"/>
      <c r="AA17" s="1593"/>
      <c r="AB17" s="1593"/>
      <c r="AC17" s="1593"/>
      <c r="AE17" s="202"/>
      <c r="AF17" s="37"/>
      <c r="AG17" s="37" t="s">
        <v>865</v>
      </c>
      <c r="AI17" s="37"/>
      <c r="AJ17" s="37"/>
      <c r="AM17" s="37"/>
      <c r="AN17" s="41"/>
      <c r="AO17" s="37"/>
      <c r="AP17" s="26"/>
      <c r="AQ17" s="21"/>
    </row>
    <row r="18" spans="2:43" s="40" customFormat="1" ht="6" customHeight="1" thickTop="1" thickBot="1">
      <c r="B18" s="202"/>
      <c r="C18" s="202"/>
      <c r="D18" s="202"/>
      <c r="E18" s="202"/>
      <c r="F18" s="202"/>
      <c r="G18" s="202"/>
      <c r="H18" s="202"/>
      <c r="I18" s="202"/>
      <c r="J18" s="202"/>
      <c r="K18" s="202"/>
      <c r="L18" s="202"/>
      <c r="M18" s="202"/>
      <c r="N18" s="202"/>
      <c r="O18" s="202"/>
      <c r="P18" s="202"/>
      <c r="R18" s="41"/>
      <c r="T18" s="202"/>
      <c r="U18" s="202"/>
      <c r="V18" s="202"/>
      <c r="W18" s="202"/>
      <c r="X18" s="202"/>
      <c r="Y18" s="202"/>
      <c r="Z18" s="202"/>
      <c r="AA18" s="202"/>
      <c r="AB18" s="202"/>
      <c r="AC18" s="202"/>
      <c r="AD18" s="202"/>
      <c r="AE18" s="202"/>
      <c r="AF18" s="202"/>
      <c r="AG18" s="202"/>
      <c r="AH18" s="202"/>
      <c r="AI18" s="202"/>
      <c r="AJ18" s="202"/>
      <c r="AK18" s="202"/>
      <c r="AL18" s="202"/>
      <c r="AM18" s="202"/>
      <c r="AN18" s="41"/>
      <c r="AO18" s="202"/>
      <c r="AP18" s="21"/>
      <c r="AQ18" s="21"/>
    </row>
    <row r="19" spans="2:43" s="40" customFormat="1" ht="16.5" customHeight="1" thickTop="1" thickBot="1">
      <c r="B19" s="85"/>
      <c r="C19" s="132">
        <v>3</v>
      </c>
      <c r="D19" s="1593" t="s">
        <v>305</v>
      </c>
      <c r="E19" s="1593"/>
      <c r="F19" s="1593"/>
      <c r="G19" s="1593"/>
      <c r="H19" s="1593"/>
      <c r="I19" s="1593"/>
      <c r="J19" s="1593"/>
      <c r="K19" s="1593"/>
      <c r="L19" s="396">
        <f>+'FORM 1040-11'!G44</f>
        <v>0</v>
      </c>
      <c r="M19" s="202"/>
      <c r="N19" s="37"/>
      <c r="O19" s="37" t="s">
        <v>866</v>
      </c>
      <c r="P19" s="396">
        <f>+'FORM 1040-2'!BA51</f>
        <v>0</v>
      </c>
      <c r="R19" s="41"/>
      <c r="T19" s="85"/>
      <c r="U19" s="132">
        <v>3</v>
      </c>
      <c r="V19" s="1593" t="s">
        <v>305</v>
      </c>
      <c r="W19" s="1593"/>
      <c r="X19" s="1593"/>
      <c r="Y19" s="1593"/>
      <c r="Z19" s="1593"/>
      <c r="AA19" s="1593"/>
      <c r="AB19" s="1593"/>
      <c r="AC19" s="1593"/>
      <c r="AD19" s="495"/>
      <c r="AE19" s="202"/>
      <c r="AF19" s="37"/>
      <c r="AG19" s="37" t="s">
        <v>866</v>
      </c>
      <c r="AI19" s="37"/>
      <c r="AJ19" s="37"/>
      <c r="AK19" s="37"/>
      <c r="AL19" s="37"/>
      <c r="AM19" s="37"/>
      <c r="AN19" s="41"/>
      <c r="AO19" s="37"/>
      <c r="AP19" s="26"/>
      <c r="AQ19" s="21"/>
    </row>
    <row r="20" spans="2:43" s="40" customFormat="1" ht="6" customHeight="1" thickTop="1" thickBot="1">
      <c r="B20" s="202"/>
      <c r="C20" s="202"/>
      <c r="D20" s="202"/>
      <c r="E20" s="202"/>
      <c r="F20" s="202"/>
      <c r="G20" s="202"/>
      <c r="H20" s="202"/>
      <c r="I20" s="202"/>
      <c r="J20" s="202"/>
      <c r="K20" s="202"/>
      <c r="L20" s="202"/>
      <c r="M20" s="202"/>
      <c r="N20" s="202"/>
      <c r="O20" s="202"/>
      <c r="P20" s="202"/>
      <c r="R20" s="41"/>
      <c r="T20" s="202"/>
      <c r="U20" s="202"/>
      <c r="V20" s="202"/>
      <c r="W20" s="202"/>
      <c r="X20" s="202"/>
      <c r="Y20" s="202"/>
      <c r="Z20" s="202"/>
      <c r="AA20" s="202"/>
      <c r="AB20" s="202"/>
      <c r="AC20" s="202"/>
      <c r="AD20" s="202"/>
      <c r="AE20" s="202"/>
      <c r="AF20" s="202"/>
      <c r="AG20" s="202"/>
      <c r="AH20" s="202"/>
      <c r="AI20" s="202"/>
      <c r="AJ20" s="202"/>
      <c r="AK20" s="202"/>
      <c r="AL20" s="202"/>
      <c r="AM20" s="202"/>
      <c r="AN20" s="41"/>
      <c r="AO20" s="202"/>
      <c r="AP20" s="21"/>
      <c r="AQ20" s="21"/>
    </row>
    <row r="21" spans="2:43" s="40" customFormat="1" ht="16.5" customHeight="1" thickTop="1" thickBot="1">
      <c r="B21" s="85"/>
      <c r="C21" s="132">
        <v>4</v>
      </c>
      <c r="D21" s="1593" t="s">
        <v>2394</v>
      </c>
      <c r="E21" s="1593"/>
      <c r="F21" s="1593"/>
      <c r="G21" s="1593"/>
      <c r="H21" s="1593"/>
      <c r="I21" s="1593"/>
      <c r="J21" s="1593"/>
      <c r="K21" s="1593"/>
      <c r="L21" s="496">
        <f>+L15+L17+L19</f>
        <v>0</v>
      </c>
      <c r="M21" s="202"/>
      <c r="N21" s="37"/>
      <c r="O21" s="37" t="s">
        <v>867</v>
      </c>
      <c r="P21" s="396">
        <f>+'FORM 1040-2'!BA53</f>
        <v>0</v>
      </c>
      <c r="R21" s="41"/>
      <c r="T21" s="85"/>
      <c r="U21" s="132">
        <v>4</v>
      </c>
      <c r="V21" s="1593" t="s">
        <v>846</v>
      </c>
      <c r="W21" s="1593"/>
      <c r="X21" s="1593"/>
      <c r="Y21" s="1593"/>
      <c r="Z21" s="1593"/>
      <c r="AA21" s="1593"/>
      <c r="AB21" s="1593"/>
      <c r="AC21" s="1593"/>
      <c r="AD21" s="497">
        <f>IF(L21="","",(L21))</f>
        <v>0</v>
      </c>
      <c r="AE21" s="202"/>
      <c r="AF21" s="37"/>
      <c r="AG21" s="37" t="s">
        <v>867</v>
      </c>
      <c r="AI21" s="37"/>
      <c r="AJ21" s="37"/>
      <c r="AK21" s="37"/>
      <c r="AL21" s="37"/>
      <c r="AM21" s="37"/>
      <c r="AN21" s="41"/>
      <c r="AO21" s="37"/>
      <c r="AP21" s="26"/>
      <c r="AQ21" s="21"/>
    </row>
    <row r="22" spans="2:43" s="40" customFormat="1" ht="9.9499999999999993" customHeight="1" thickTop="1">
      <c r="R22" s="41"/>
      <c r="AN22" s="41"/>
      <c r="AP22" s="98"/>
      <c r="AQ22" s="98"/>
    </row>
    <row r="23" spans="2:43" s="40" customFormat="1" ht="15" customHeight="1">
      <c r="B23" s="85" t="s">
        <v>105</v>
      </c>
      <c r="C23" s="1593" t="s">
        <v>302</v>
      </c>
      <c r="D23" s="1593"/>
      <c r="E23" s="1593"/>
      <c r="F23" s="1593"/>
      <c r="G23" s="1593"/>
      <c r="H23" s="1593"/>
      <c r="I23" s="1593"/>
      <c r="J23" s="1593"/>
      <c r="K23" s="1593"/>
      <c r="L23" s="1593"/>
      <c r="M23" s="1593"/>
      <c r="N23" s="1593"/>
      <c r="O23" s="1593"/>
      <c r="P23" s="1593"/>
      <c r="R23" s="41"/>
      <c r="T23" s="85" t="s">
        <v>105</v>
      </c>
      <c r="U23" s="1593" t="s">
        <v>302</v>
      </c>
      <c r="V23" s="1593"/>
      <c r="W23" s="1593"/>
      <c r="X23" s="1593"/>
      <c r="Y23" s="1593"/>
      <c r="Z23" s="1593"/>
      <c r="AA23" s="1593"/>
      <c r="AB23" s="1593"/>
      <c r="AC23" s="1593"/>
      <c r="AD23" s="1593"/>
      <c r="AE23" s="1593"/>
      <c r="AF23" s="1593"/>
      <c r="AG23" s="1593"/>
      <c r="AH23" s="1593"/>
      <c r="AI23" s="37"/>
      <c r="AN23" s="41"/>
      <c r="AP23" s="98"/>
      <c r="AQ23" s="98"/>
    </row>
    <row r="24" spans="2:43" s="40" customFormat="1" ht="6" customHeight="1" thickBot="1">
      <c r="B24" s="85"/>
      <c r="C24" s="85"/>
      <c r="D24" s="202"/>
      <c r="E24" s="202"/>
      <c r="F24" s="202"/>
      <c r="G24" s="202"/>
      <c r="H24" s="202"/>
      <c r="I24" s="202"/>
      <c r="J24" s="202"/>
      <c r="K24" s="202"/>
      <c r="L24" s="202"/>
      <c r="M24" s="202"/>
      <c r="N24" s="202"/>
      <c r="O24" s="202"/>
      <c r="P24" s="202"/>
      <c r="R24" s="41"/>
      <c r="T24" s="85"/>
      <c r="U24" s="85"/>
      <c r="V24" s="202"/>
      <c r="W24" s="202"/>
      <c r="X24" s="202"/>
      <c r="Y24" s="202"/>
      <c r="Z24" s="202"/>
      <c r="AA24" s="202"/>
      <c r="AB24" s="202"/>
      <c r="AC24" s="202"/>
      <c r="AD24" s="202"/>
      <c r="AE24" s="202"/>
      <c r="AF24" s="202"/>
      <c r="AG24" s="202"/>
      <c r="AH24" s="202"/>
      <c r="AI24" s="202"/>
      <c r="AN24" s="41"/>
    </row>
    <row r="25" spans="2:43" s="40" customFormat="1" ht="16.5" customHeight="1" thickTop="1" thickBot="1">
      <c r="B25" s="85"/>
      <c r="C25" s="132">
        <v>1</v>
      </c>
      <c r="D25" s="1593" t="s">
        <v>172</v>
      </c>
      <c r="E25" s="1593"/>
      <c r="F25" s="1593"/>
      <c r="G25" s="1593"/>
      <c r="H25" s="1593"/>
      <c r="I25" s="1593"/>
      <c r="J25" s="1593"/>
      <c r="K25" s="1593"/>
      <c r="L25" s="204"/>
      <c r="M25" s="202"/>
      <c r="N25" s="1225"/>
      <c r="O25" s="1225"/>
      <c r="P25" s="1225"/>
      <c r="R25" s="41"/>
      <c r="T25" s="85"/>
      <c r="U25" s="132">
        <v>1</v>
      </c>
      <c r="V25" s="1593" t="s">
        <v>172</v>
      </c>
      <c r="W25" s="1593"/>
      <c r="X25" s="1593"/>
      <c r="Y25" s="1593"/>
      <c r="Z25" s="1593"/>
      <c r="AA25" s="1593"/>
      <c r="AB25" s="1593"/>
      <c r="AC25" s="1593"/>
      <c r="AD25" s="19" t="str">
        <f>IF(L25="","",(L25))</f>
        <v/>
      </c>
      <c r="AE25" s="202"/>
      <c r="AF25" s="37"/>
      <c r="AG25" s="37"/>
      <c r="AH25" s="37"/>
      <c r="AI25" s="37"/>
      <c r="AN25" s="41"/>
    </row>
    <row r="26" spans="2:43" ht="6" customHeight="1" thickTop="1" thickBot="1">
      <c r="B26" s="202"/>
      <c r="C26" s="202"/>
      <c r="D26" s="202"/>
      <c r="E26" s="202"/>
      <c r="F26" s="202"/>
      <c r="G26" s="202"/>
      <c r="H26" s="202"/>
      <c r="I26" s="202"/>
      <c r="J26" s="202"/>
      <c r="K26" s="202"/>
      <c r="L26" s="202"/>
      <c r="M26" s="202"/>
      <c r="N26" s="1225"/>
      <c r="O26" s="1225"/>
      <c r="P26" s="1225"/>
      <c r="T26" s="202"/>
      <c r="U26" s="202"/>
      <c r="V26" s="202"/>
      <c r="W26" s="202"/>
      <c r="X26" s="202"/>
      <c r="Y26" s="202"/>
      <c r="Z26" s="202"/>
      <c r="AA26" s="202"/>
      <c r="AB26" s="202"/>
      <c r="AC26" s="202"/>
      <c r="AD26" s="202"/>
      <c r="AE26" s="202"/>
      <c r="AF26" s="202"/>
      <c r="AG26" s="202"/>
      <c r="AH26" s="202"/>
      <c r="AI26" s="202"/>
    </row>
    <row r="27" spans="2:43" ht="16.5" customHeight="1" thickTop="1" thickBot="1">
      <c r="B27" s="85"/>
      <c r="C27" s="132">
        <v>2</v>
      </c>
      <c r="D27" s="1593" t="s">
        <v>1502</v>
      </c>
      <c r="E27" s="1593"/>
      <c r="F27" s="1593"/>
      <c r="G27" s="1593"/>
      <c r="H27" s="1593"/>
      <c r="I27" s="1593"/>
      <c r="J27" s="1593"/>
      <c r="K27" s="1593"/>
      <c r="L27" s="204"/>
      <c r="M27" s="202"/>
      <c r="N27" s="1225"/>
      <c r="O27" s="1225"/>
      <c r="P27" s="1225"/>
      <c r="T27" s="85"/>
      <c r="U27" s="132">
        <v>2</v>
      </c>
      <c r="V27" s="1593" t="s">
        <v>1502</v>
      </c>
      <c r="W27" s="1593"/>
      <c r="X27" s="1593"/>
      <c r="Y27" s="1593"/>
      <c r="Z27" s="1593"/>
      <c r="AA27" s="1593"/>
      <c r="AB27" s="1593"/>
      <c r="AC27" s="1593"/>
      <c r="AD27" s="14"/>
      <c r="AE27" s="202"/>
      <c r="AF27" s="85" t="s">
        <v>319</v>
      </c>
      <c r="AG27" s="1616"/>
      <c r="AH27" s="1616"/>
      <c r="AI27" s="37"/>
    </row>
    <row r="28" spans="2:43" ht="6" customHeight="1" thickTop="1">
      <c r="B28" s="202"/>
      <c r="C28" s="202"/>
      <c r="D28" s="202"/>
      <c r="E28" s="202"/>
      <c r="F28" s="202"/>
      <c r="G28" s="202"/>
      <c r="H28" s="202"/>
      <c r="I28" s="202"/>
      <c r="J28" s="202"/>
      <c r="K28" s="202"/>
      <c r="L28" s="202"/>
      <c r="M28" s="202"/>
      <c r="N28" s="1225"/>
      <c r="O28" s="1225"/>
      <c r="P28" s="1225"/>
      <c r="T28" s="202"/>
      <c r="U28" s="202"/>
      <c r="V28" s="202"/>
      <c r="W28" s="202"/>
      <c r="X28" s="202"/>
      <c r="Y28" s="202"/>
      <c r="Z28" s="202"/>
      <c r="AA28" s="202"/>
      <c r="AB28" s="202"/>
      <c r="AC28" s="202"/>
      <c r="AD28" s="202"/>
      <c r="AE28" s="202"/>
      <c r="AF28" s="202"/>
      <c r="AG28" s="202"/>
      <c r="AH28" s="202"/>
      <c r="AI28" s="202"/>
    </row>
    <row r="29" spans="2:43" s="1222" customFormat="1" ht="15" customHeight="1" thickBot="1">
      <c r="B29" s="1225"/>
      <c r="C29" s="1225"/>
      <c r="D29" s="1226" t="s">
        <v>63</v>
      </c>
      <c r="E29" s="1593" t="s">
        <v>2392</v>
      </c>
      <c r="F29" s="1593"/>
      <c r="G29" s="1593"/>
      <c r="H29" s="1593"/>
      <c r="I29" s="1593"/>
      <c r="J29" s="1593"/>
      <c r="K29" s="1593"/>
      <c r="L29" s="1593"/>
      <c r="M29" s="1593"/>
      <c r="N29" s="2216"/>
      <c r="O29" s="2216"/>
      <c r="P29" s="2216"/>
      <c r="R29" s="6"/>
      <c r="T29" s="1225"/>
      <c r="U29" s="1225"/>
      <c r="V29" s="1225"/>
      <c r="W29" s="1225"/>
      <c r="X29" s="1225"/>
      <c r="Y29" s="1225"/>
      <c r="Z29" s="1225"/>
      <c r="AA29" s="1225"/>
      <c r="AB29" s="1225"/>
      <c r="AC29" s="1225"/>
      <c r="AD29" s="1225"/>
      <c r="AE29" s="1225"/>
      <c r="AF29" s="1225"/>
      <c r="AG29" s="1225"/>
      <c r="AH29" s="1225"/>
      <c r="AI29" s="1225"/>
      <c r="AN29" s="6"/>
    </row>
    <row r="30" spans="2:43" s="1222" customFormat="1" ht="6" customHeight="1" thickTop="1">
      <c r="B30" s="1225"/>
      <c r="C30" s="1225"/>
      <c r="D30" s="1226"/>
      <c r="E30" s="1225"/>
      <c r="F30" s="1225"/>
      <c r="G30" s="1225"/>
      <c r="H30" s="1225"/>
      <c r="I30" s="1225"/>
      <c r="J30" s="1225"/>
      <c r="K30" s="1225"/>
      <c r="L30" s="1225"/>
      <c r="M30" s="1225"/>
      <c r="N30" s="1224"/>
      <c r="O30" s="1224"/>
      <c r="P30" s="1257"/>
      <c r="R30" s="6"/>
      <c r="T30" s="1225"/>
      <c r="U30" s="1225"/>
      <c r="V30" s="1225"/>
      <c r="W30" s="1225"/>
      <c r="X30" s="1225"/>
      <c r="Y30" s="1225"/>
      <c r="Z30" s="1225"/>
      <c r="AA30" s="1225"/>
      <c r="AB30" s="1225"/>
      <c r="AC30" s="1225"/>
      <c r="AD30" s="1225"/>
      <c r="AE30" s="1225"/>
      <c r="AF30" s="1225"/>
      <c r="AG30" s="1225"/>
      <c r="AH30" s="1225"/>
      <c r="AI30" s="1225"/>
      <c r="AN30" s="6"/>
    </row>
    <row r="31" spans="2:43" s="1222" customFormat="1" ht="15" customHeight="1" thickBot="1">
      <c r="B31" s="1225"/>
      <c r="C31" s="1225"/>
      <c r="D31" s="1226" t="s">
        <v>64</v>
      </c>
      <c r="E31" s="1593" t="s">
        <v>2393</v>
      </c>
      <c r="F31" s="1593"/>
      <c r="G31" s="1593"/>
      <c r="H31" s="1593"/>
      <c r="I31" s="1593"/>
      <c r="J31" s="1593"/>
      <c r="K31" s="1593"/>
      <c r="L31" s="1593"/>
      <c r="M31" s="1593"/>
      <c r="N31" s="1593"/>
      <c r="O31" s="1593"/>
      <c r="P31" s="1239"/>
      <c r="R31" s="6"/>
      <c r="T31" s="1225"/>
      <c r="U31" s="1225"/>
      <c r="V31" s="1225"/>
      <c r="W31" s="1225"/>
      <c r="X31" s="1225"/>
      <c r="Y31" s="1225"/>
      <c r="Z31" s="1225"/>
      <c r="AA31" s="1225"/>
      <c r="AB31" s="1225"/>
      <c r="AC31" s="1225"/>
      <c r="AD31" s="1225"/>
      <c r="AE31" s="1225"/>
      <c r="AF31" s="1225"/>
      <c r="AG31" s="1225"/>
      <c r="AH31" s="1225"/>
      <c r="AI31" s="1225"/>
      <c r="AN31" s="6"/>
    </row>
    <row r="32" spans="2:43" s="1222" customFormat="1" ht="6" customHeight="1" thickTop="1" thickBot="1">
      <c r="B32" s="1225"/>
      <c r="C32" s="1225"/>
      <c r="D32" s="1225"/>
      <c r="E32" s="1225"/>
      <c r="F32" s="1225"/>
      <c r="G32" s="1225"/>
      <c r="H32" s="1225"/>
      <c r="I32" s="1225"/>
      <c r="J32" s="1225"/>
      <c r="K32" s="1225"/>
      <c r="L32" s="1225"/>
      <c r="M32" s="1225"/>
      <c r="N32" s="1224"/>
      <c r="O32" s="1224"/>
      <c r="P32" s="1238"/>
      <c r="R32" s="6"/>
      <c r="T32" s="1225"/>
      <c r="U32" s="1225"/>
      <c r="V32" s="1225"/>
      <c r="W32" s="1225"/>
      <c r="X32" s="1225"/>
      <c r="Y32" s="1225"/>
      <c r="Z32" s="1225"/>
      <c r="AA32" s="1225"/>
      <c r="AB32" s="1225"/>
      <c r="AC32" s="1225"/>
      <c r="AD32" s="1225"/>
      <c r="AE32" s="1225"/>
      <c r="AF32" s="1225"/>
      <c r="AG32" s="1225"/>
      <c r="AH32" s="1225"/>
      <c r="AI32" s="1225"/>
      <c r="AN32" s="6"/>
    </row>
    <row r="33" spans="1:42" ht="16.5" customHeight="1" thickTop="1" thickBot="1">
      <c r="B33" s="85"/>
      <c r="C33" s="132">
        <v>3</v>
      </c>
      <c r="D33" s="1593" t="s">
        <v>847</v>
      </c>
      <c r="E33" s="1593"/>
      <c r="F33" s="1593"/>
      <c r="G33" s="1593"/>
      <c r="H33" s="1593"/>
      <c r="I33" s="1593"/>
      <c r="J33" s="1593"/>
      <c r="K33" s="1593"/>
      <c r="L33" s="498">
        <f>+L25+L27</f>
        <v>0</v>
      </c>
      <c r="M33" s="202"/>
      <c r="N33" s="37"/>
      <c r="O33" s="37"/>
      <c r="P33" s="37"/>
      <c r="T33" s="85"/>
      <c r="U33" s="132">
        <v>3</v>
      </c>
      <c r="V33" s="1593" t="s">
        <v>847</v>
      </c>
      <c r="W33" s="1593"/>
      <c r="X33" s="1593"/>
      <c r="Y33" s="1593"/>
      <c r="Z33" s="1593"/>
      <c r="AA33" s="1593"/>
      <c r="AB33" s="1593"/>
      <c r="AC33" s="1593"/>
      <c r="AD33" s="499"/>
      <c r="AE33" s="202"/>
      <c r="AF33" s="37"/>
      <c r="AG33" s="37"/>
      <c r="AH33" s="37"/>
      <c r="AI33" s="37"/>
    </row>
    <row r="34" spans="1:42" ht="9.9499999999999993" customHeight="1" thickTop="1">
      <c r="A34" s="12"/>
      <c r="B34" s="85"/>
      <c r="C34" s="202"/>
      <c r="D34" s="202"/>
      <c r="E34" s="202"/>
      <c r="F34" s="202"/>
      <c r="G34" s="202"/>
      <c r="H34" s="202"/>
      <c r="I34" s="202"/>
      <c r="J34" s="202"/>
      <c r="K34" s="202"/>
      <c r="L34" s="202"/>
      <c r="M34" s="202"/>
      <c r="N34" s="202"/>
      <c r="O34" s="202"/>
      <c r="P34" s="202"/>
      <c r="S34" s="12"/>
      <c r="T34" s="85"/>
      <c r="U34" s="202"/>
      <c r="V34" s="202"/>
      <c r="W34" s="202"/>
      <c r="X34" s="202"/>
      <c r="Y34" s="202"/>
      <c r="Z34" s="202"/>
      <c r="AA34" s="202"/>
      <c r="AB34" s="202"/>
      <c r="AC34" s="202"/>
      <c r="AD34" s="202"/>
      <c r="AE34" s="202"/>
      <c r="AF34" s="202"/>
      <c r="AG34" s="202"/>
      <c r="AH34" s="202"/>
      <c r="AI34" s="37"/>
      <c r="AJ34" s="37"/>
      <c r="AK34" s="37"/>
      <c r="AL34" s="37"/>
      <c r="AM34" s="37"/>
      <c r="AO34" s="37"/>
      <c r="AP34" s="37"/>
    </row>
    <row r="35" spans="1:42" s="202" customFormat="1" ht="15" customHeight="1">
      <c r="A35" s="12"/>
      <c r="B35" s="85" t="s">
        <v>106</v>
      </c>
      <c r="C35" s="1593" t="s">
        <v>300</v>
      </c>
      <c r="D35" s="1593"/>
      <c r="E35" s="1593"/>
      <c r="F35" s="1593"/>
      <c r="G35" s="1593"/>
      <c r="H35" s="1593"/>
      <c r="I35" s="1593"/>
      <c r="J35" s="1593"/>
      <c r="K35" s="1593"/>
      <c r="L35" s="1593"/>
      <c r="M35" s="1593"/>
      <c r="N35" s="1593"/>
      <c r="O35" s="1593"/>
      <c r="P35" s="1593"/>
      <c r="R35" s="270"/>
      <c r="S35" s="12"/>
      <c r="T35" s="85" t="s">
        <v>106</v>
      </c>
      <c r="U35" s="1593" t="s">
        <v>300</v>
      </c>
      <c r="V35" s="1593"/>
      <c r="W35" s="1593"/>
      <c r="X35" s="1593"/>
      <c r="Y35" s="1593"/>
      <c r="Z35" s="1593"/>
      <c r="AA35" s="1593"/>
      <c r="AB35" s="1593"/>
      <c r="AC35" s="1593"/>
      <c r="AD35" s="1593"/>
      <c r="AE35" s="1593"/>
      <c r="AF35" s="1593"/>
      <c r="AG35" s="1593"/>
      <c r="AH35" s="1593"/>
      <c r="AI35" s="37"/>
      <c r="AJ35" s="37"/>
      <c r="AK35" s="37"/>
      <c r="AN35" s="270"/>
    </row>
    <row r="36" spans="1:42" s="202" customFormat="1" ht="6" customHeight="1" thickBot="1">
      <c r="R36" s="270"/>
      <c r="AN36" s="270"/>
    </row>
    <row r="37" spans="1:42" s="202" customFormat="1" ht="15" customHeight="1" thickTop="1" thickBot="1">
      <c r="B37" s="85"/>
      <c r="C37" s="132">
        <v>1</v>
      </c>
      <c r="D37" s="1668" t="s">
        <v>2151</v>
      </c>
      <c r="E37" s="1668"/>
      <c r="F37" s="1668"/>
      <c r="G37" s="1668"/>
      <c r="H37" s="1668"/>
      <c r="I37" s="1668"/>
      <c r="J37" s="1668"/>
      <c r="K37" s="1668"/>
      <c r="L37" s="1668"/>
      <c r="M37" s="1668"/>
      <c r="N37" s="1668"/>
      <c r="O37" s="1668"/>
      <c r="P37" s="500"/>
      <c r="R37" s="270"/>
      <c r="T37" s="85"/>
      <c r="U37" s="132">
        <v>1</v>
      </c>
      <c r="V37" s="1668" t="s">
        <v>306</v>
      </c>
      <c r="W37" s="1668"/>
      <c r="X37" s="1668"/>
      <c r="Y37" s="1668"/>
      <c r="Z37" s="1668"/>
      <c r="AA37" s="1668"/>
      <c r="AB37" s="1668"/>
      <c r="AC37" s="1668"/>
      <c r="AD37" s="1668"/>
      <c r="AE37" s="1668"/>
      <c r="AF37" s="1668"/>
      <c r="AG37" s="1668"/>
      <c r="AH37" s="501" t="str">
        <f>IF(P37="","",(P37))</f>
        <v/>
      </c>
      <c r="AI37" s="37"/>
      <c r="AJ37" s="502"/>
      <c r="AK37" s="502"/>
      <c r="AN37" s="270"/>
    </row>
    <row r="38" spans="1:42" s="202" customFormat="1" ht="6" customHeight="1" thickTop="1" thickBot="1">
      <c r="P38" s="12"/>
      <c r="R38" s="270"/>
      <c r="AH38" s="12"/>
      <c r="AN38" s="270"/>
    </row>
    <row r="39" spans="1:42" s="202" customFormat="1" ht="15" customHeight="1" thickTop="1" thickBot="1">
      <c r="B39" s="85"/>
      <c r="C39" s="132">
        <v>2</v>
      </c>
      <c r="D39" s="1668" t="s">
        <v>2149</v>
      </c>
      <c r="E39" s="1668"/>
      <c r="F39" s="1668"/>
      <c r="G39" s="1668"/>
      <c r="H39" s="1668"/>
      <c r="I39" s="1668"/>
      <c r="J39" s="1668"/>
      <c r="K39" s="1668"/>
      <c r="L39" s="2212"/>
      <c r="M39" s="2212"/>
      <c r="N39" s="2212"/>
      <c r="O39" s="2212"/>
      <c r="P39" s="503">
        <f>+'FORM 1040-22'!G52</f>
        <v>0</v>
      </c>
      <c r="R39" s="270"/>
      <c r="T39" s="85"/>
      <c r="U39" s="132">
        <v>2</v>
      </c>
      <c r="V39" s="1668" t="s">
        <v>864</v>
      </c>
      <c r="W39" s="1668"/>
      <c r="X39" s="1668"/>
      <c r="Y39" s="1668"/>
      <c r="Z39" s="1668"/>
      <c r="AA39" s="1668"/>
      <c r="AB39" s="1668"/>
      <c r="AC39" s="1668"/>
      <c r="AD39" s="2212"/>
      <c r="AE39" s="2212"/>
      <c r="AF39" s="2212"/>
      <c r="AG39" s="2212"/>
      <c r="AH39" s="501">
        <f>IF(P39="","",(P39))</f>
        <v>0</v>
      </c>
      <c r="AI39" s="37"/>
      <c r="AJ39" s="502"/>
      <c r="AK39" s="502"/>
      <c r="AN39" s="270"/>
    </row>
    <row r="40" spans="1:42" s="202" customFormat="1" ht="6" customHeight="1" thickTop="1" thickBot="1">
      <c r="P40" s="12"/>
      <c r="R40" s="270"/>
      <c r="AH40" s="12"/>
      <c r="AN40" s="270"/>
    </row>
    <row r="41" spans="1:42" s="202" customFormat="1" ht="26.1" customHeight="1" thickTop="1" thickBot="1">
      <c r="B41" s="85"/>
      <c r="C41" s="158">
        <v>3</v>
      </c>
      <c r="D41" s="1656" t="s">
        <v>2150</v>
      </c>
      <c r="E41" s="1656"/>
      <c r="F41" s="1656"/>
      <c r="G41" s="1656"/>
      <c r="H41" s="1656"/>
      <c r="I41" s="1656"/>
      <c r="J41" s="1656"/>
      <c r="K41" s="1656"/>
      <c r="L41" s="2213"/>
      <c r="M41" s="2213"/>
      <c r="N41" s="2213"/>
      <c r="O41" s="2213"/>
      <c r="P41" s="500"/>
      <c r="R41" s="270"/>
      <c r="T41" s="85"/>
      <c r="U41" s="158">
        <v>3</v>
      </c>
      <c r="V41" s="1656" t="s">
        <v>1503</v>
      </c>
      <c r="W41" s="1656"/>
      <c r="X41" s="1656"/>
      <c r="Y41" s="1656"/>
      <c r="Z41" s="1656"/>
      <c r="AA41" s="1656"/>
      <c r="AB41" s="1656"/>
      <c r="AC41" s="1656"/>
      <c r="AD41" s="2213"/>
      <c r="AE41" s="2213"/>
      <c r="AF41" s="2213"/>
      <c r="AG41" s="2213"/>
      <c r="AH41" s="501" t="str">
        <f>IF(P41="","",(P41))</f>
        <v/>
      </c>
      <c r="AI41" s="37"/>
      <c r="AJ41" s="502"/>
      <c r="AK41" s="502"/>
      <c r="AN41" s="270"/>
    </row>
    <row r="42" spans="1:42" s="202" customFormat="1" ht="6" customHeight="1" thickTop="1" thickBot="1">
      <c r="P42" s="12"/>
      <c r="R42" s="270"/>
      <c r="AH42" s="12"/>
      <c r="AN42" s="270"/>
    </row>
    <row r="43" spans="1:42" s="202" customFormat="1" ht="15" customHeight="1" thickTop="1" thickBot="1">
      <c r="B43" s="85"/>
      <c r="C43" s="132">
        <v>4</v>
      </c>
      <c r="D43" s="1593" t="s">
        <v>984</v>
      </c>
      <c r="E43" s="1593"/>
      <c r="F43" s="1593"/>
      <c r="G43" s="1593"/>
      <c r="H43" s="1593"/>
      <c r="I43" s="1593"/>
      <c r="J43" s="1593"/>
      <c r="K43" s="1593"/>
      <c r="L43" s="1593"/>
      <c r="M43" s="1593"/>
      <c r="N43" s="1593"/>
      <c r="O43" s="1593"/>
      <c r="P43" s="504">
        <f>+P37+P39+P41</f>
        <v>0</v>
      </c>
      <c r="R43" s="270"/>
      <c r="T43" s="85"/>
      <c r="U43" s="132">
        <v>4</v>
      </c>
      <c r="V43" s="1593" t="s">
        <v>848</v>
      </c>
      <c r="W43" s="1593"/>
      <c r="X43" s="1593"/>
      <c r="Y43" s="1593"/>
      <c r="Z43" s="1593"/>
      <c r="AA43" s="1593"/>
      <c r="AB43" s="1593"/>
      <c r="AC43" s="1593"/>
      <c r="AD43" s="1593"/>
      <c r="AE43" s="1593"/>
      <c r="AF43" s="1593"/>
      <c r="AG43" s="1593"/>
      <c r="AH43" s="505">
        <f>IF(P43="","",(P43))</f>
        <v>0</v>
      </c>
      <c r="AI43" s="37"/>
      <c r="AJ43" s="474"/>
      <c r="AK43" s="474"/>
      <c r="AN43" s="270"/>
    </row>
    <row r="44" spans="1:42" ht="9.9499999999999993" customHeight="1" thickTop="1" thickBot="1">
      <c r="B44" s="202"/>
      <c r="C44" s="202"/>
      <c r="D44" s="202"/>
      <c r="E44" s="202"/>
      <c r="F44" s="202"/>
      <c r="G44" s="202"/>
      <c r="H44" s="202"/>
      <c r="I44" s="202"/>
      <c r="J44" s="202"/>
      <c r="K44" s="202"/>
      <c r="L44" s="202"/>
      <c r="M44" s="202"/>
      <c r="N44" s="202"/>
      <c r="O44" s="202"/>
      <c r="P44" s="202"/>
      <c r="T44" s="202"/>
      <c r="U44" s="202"/>
      <c r="V44" s="202"/>
      <c r="W44" s="202"/>
      <c r="X44" s="202"/>
      <c r="Y44" s="202"/>
      <c r="Z44" s="202"/>
      <c r="AA44" s="202"/>
      <c r="AB44" s="202"/>
      <c r="AC44" s="202"/>
      <c r="AD44" s="202"/>
      <c r="AE44" s="202"/>
      <c r="AF44" s="202"/>
      <c r="AG44" s="202"/>
      <c r="AH44" s="202"/>
      <c r="AI44" s="202"/>
      <c r="AJ44" s="202"/>
      <c r="AK44" s="202"/>
    </row>
    <row r="45" spans="1:42" s="202" customFormat="1" ht="16.5" customHeight="1" thickTop="1" thickBot="1">
      <c r="A45" s="12"/>
      <c r="B45" s="85" t="s">
        <v>107</v>
      </c>
      <c r="C45" s="1593" t="s">
        <v>173</v>
      </c>
      <c r="D45" s="1593"/>
      <c r="E45" s="1593"/>
      <c r="F45" s="1593"/>
      <c r="G45" s="1593"/>
      <c r="H45" s="1593"/>
      <c r="I45" s="1593"/>
      <c r="J45" s="1593"/>
      <c r="K45" s="1593"/>
      <c r="L45" s="506"/>
      <c r="M45" s="37"/>
      <c r="N45" s="37"/>
      <c r="O45" s="37"/>
      <c r="P45" s="37"/>
      <c r="R45" s="270"/>
      <c r="S45" s="12"/>
      <c r="T45" s="85" t="s">
        <v>107</v>
      </c>
      <c r="U45" s="1593" t="s">
        <v>173</v>
      </c>
      <c r="V45" s="1593"/>
      <c r="W45" s="1593"/>
      <c r="X45" s="1593"/>
      <c r="Y45" s="1593"/>
      <c r="Z45" s="1593"/>
      <c r="AA45" s="1593"/>
      <c r="AB45" s="1593"/>
      <c r="AC45" s="1593"/>
      <c r="AD45" s="495"/>
      <c r="AE45" s="37"/>
      <c r="AF45" s="37"/>
      <c r="AG45" s="37"/>
      <c r="AH45" s="37"/>
      <c r="AI45" s="37"/>
      <c r="AJ45" s="37"/>
      <c r="AK45" s="37"/>
      <c r="AN45" s="270"/>
    </row>
    <row r="46" spans="1:42" ht="9.9499999999999993" customHeight="1" thickTop="1"/>
    <row r="47" spans="1:42" ht="15" customHeight="1">
      <c r="A47" s="12"/>
      <c r="B47" s="85" t="s">
        <v>109</v>
      </c>
      <c r="C47" s="1593" t="s">
        <v>264</v>
      </c>
      <c r="D47" s="1593"/>
      <c r="E47" s="1593"/>
      <c r="F47" s="1593"/>
      <c r="G47" s="1593"/>
      <c r="H47" s="1593"/>
      <c r="I47" s="1593"/>
      <c r="J47" s="1593"/>
      <c r="K47" s="1593"/>
      <c r="L47" s="1593"/>
      <c r="M47" s="1593"/>
      <c r="N47" s="1593"/>
      <c r="O47" s="1593"/>
      <c r="P47" s="1593"/>
      <c r="S47" s="12"/>
      <c r="T47" s="85" t="s">
        <v>109</v>
      </c>
      <c r="U47" s="1593" t="s">
        <v>264</v>
      </c>
      <c r="V47" s="1593"/>
      <c r="W47" s="1593"/>
      <c r="X47" s="1593"/>
      <c r="Y47" s="1593"/>
      <c r="Z47" s="1593"/>
      <c r="AA47" s="1593"/>
      <c r="AB47" s="1593"/>
      <c r="AC47" s="1593"/>
      <c r="AD47" s="1593"/>
      <c r="AE47" s="1593"/>
      <c r="AF47" s="1593"/>
      <c r="AG47" s="1593"/>
      <c r="AH47" s="1593"/>
      <c r="AI47" s="37"/>
      <c r="AJ47" s="37"/>
      <c r="AK47" s="37"/>
      <c r="AL47" s="37"/>
      <c r="AM47" s="37"/>
    </row>
    <row r="48" spans="1:42" ht="6" customHeight="1">
      <c r="C48" s="202"/>
      <c r="D48" s="202"/>
      <c r="E48" s="202"/>
      <c r="F48" s="202"/>
      <c r="G48" s="202"/>
      <c r="H48" s="202"/>
      <c r="I48" s="202"/>
      <c r="J48" s="202"/>
      <c r="K48" s="202"/>
      <c r="L48" s="202"/>
      <c r="M48" s="202"/>
      <c r="N48" s="202"/>
      <c r="O48" s="202"/>
      <c r="P48" s="202"/>
      <c r="U48" s="202"/>
      <c r="V48" s="202"/>
      <c r="W48" s="202"/>
      <c r="X48" s="202"/>
      <c r="Y48" s="202"/>
      <c r="Z48" s="202"/>
      <c r="AA48" s="202"/>
      <c r="AB48" s="202"/>
      <c r="AC48" s="202"/>
      <c r="AD48" s="202"/>
      <c r="AE48" s="202"/>
      <c r="AF48" s="202"/>
      <c r="AG48" s="202"/>
      <c r="AH48" s="202"/>
      <c r="AI48" s="202"/>
      <c r="AJ48" s="202"/>
      <c r="AK48" s="202"/>
      <c r="AL48" s="202"/>
      <c r="AM48" s="202"/>
    </row>
    <row r="49" spans="3:39" ht="15" customHeight="1" thickBot="1">
      <c r="C49" s="132">
        <v>1</v>
      </c>
      <c r="D49" s="1593" t="s">
        <v>849</v>
      </c>
      <c r="E49" s="1593"/>
      <c r="F49" s="1593"/>
      <c r="G49" s="1593"/>
      <c r="H49" s="1593"/>
      <c r="I49" s="1593"/>
      <c r="J49" s="1593"/>
      <c r="K49" s="1593"/>
      <c r="L49" s="1593"/>
      <c r="M49" s="1593"/>
      <c r="N49" s="1593"/>
      <c r="O49" s="1593"/>
      <c r="P49" s="301"/>
      <c r="U49" s="132">
        <v>1</v>
      </c>
      <c r="V49" s="1593" t="s">
        <v>849</v>
      </c>
      <c r="W49" s="1593"/>
      <c r="X49" s="1593"/>
      <c r="Y49" s="1593"/>
      <c r="Z49" s="1593"/>
      <c r="AA49" s="1593"/>
      <c r="AB49" s="1593"/>
      <c r="AC49" s="1593"/>
      <c r="AD49" s="1593"/>
      <c r="AE49" s="1593"/>
      <c r="AF49" s="1593"/>
      <c r="AG49" s="1593"/>
      <c r="AH49" s="507"/>
      <c r="AI49" s="37"/>
      <c r="AJ49" s="37"/>
      <c r="AK49" s="37"/>
      <c r="AL49" s="37"/>
      <c r="AM49" s="37"/>
    </row>
    <row r="50" spans="3:39" ht="6" customHeight="1" thickTop="1">
      <c r="C50" s="202"/>
      <c r="D50" s="202"/>
      <c r="E50" s="202"/>
      <c r="F50" s="202"/>
      <c r="G50" s="202"/>
      <c r="H50" s="202"/>
      <c r="I50" s="202"/>
      <c r="J50" s="202"/>
      <c r="K50" s="202"/>
      <c r="L50" s="202"/>
      <c r="M50" s="202"/>
      <c r="N50" s="202"/>
      <c r="O50" s="202"/>
      <c r="P50" s="202"/>
      <c r="U50" s="202"/>
      <c r="V50" s="202"/>
      <c r="W50" s="202"/>
      <c r="X50" s="202"/>
      <c r="Y50" s="202"/>
      <c r="Z50" s="202"/>
      <c r="AA50" s="202"/>
      <c r="AB50" s="202"/>
      <c r="AC50" s="202"/>
      <c r="AD50" s="202"/>
      <c r="AE50" s="202"/>
      <c r="AF50" s="202"/>
      <c r="AG50" s="202"/>
      <c r="AH50" s="202"/>
      <c r="AI50" s="202"/>
      <c r="AJ50" s="202"/>
      <c r="AK50" s="202"/>
      <c r="AL50" s="202"/>
      <c r="AM50" s="202"/>
    </row>
    <row r="51" spans="3:39" ht="15" customHeight="1" thickBot="1">
      <c r="C51" s="132">
        <v>2</v>
      </c>
      <c r="D51" s="1593" t="s">
        <v>850</v>
      </c>
      <c r="E51" s="1593"/>
      <c r="F51" s="1593"/>
      <c r="G51" s="1593"/>
      <c r="H51" s="1593"/>
      <c r="I51" s="1593"/>
      <c r="J51" s="1593"/>
      <c r="K51" s="1593"/>
      <c r="L51" s="1593"/>
      <c r="M51" s="1593"/>
      <c r="N51" s="1593"/>
      <c r="O51" s="1593"/>
      <c r="P51" s="13"/>
      <c r="U51" s="132">
        <v>2</v>
      </c>
      <c r="V51" s="1593" t="s">
        <v>850</v>
      </c>
      <c r="W51" s="1593"/>
      <c r="X51" s="1593"/>
      <c r="Y51" s="1593"/>
      <c r="Z51" s="1593"/>
      <c r="AA51" s="1593"/>
      <c r="AB51" s="1593"/>
      <c r="AC51" s="1593"/>
      <c r="AD51" s="1593"/>
      <c r="AE51" s="1593"/>
      <c r="AF51" s="1593"/>
      <c r="AG51" s="1593"/>
      <c r="AH51" s="507"/>
      <c r="AI51" s="37"/>
      <c r="AJ51" s="37"/>
      <c r="AK51" s="37"/>
      <c r="AL51" s="37"/>
      <c r="AM51" s="37"/>
    </row>
    <row r="52" spans="3:39" ht="6" customHeight="1" thickTop="1">
      <c r="C52" s="202"/>
      <c r="D52" s="202"/>
      <c r="E52" s="202"/>
      <c r="F52" s="202"/>
      <c r="G52" s="202"/>
      <c r="H52" s="202"/>
      <c r="I52" s="202"/>
      <c r="J52" s="202"/>
      <c r="K52" s="202"/>
      <c r="L52" s="202"/>
      <c r="M52" s="202"/>
      <c r="N52" s="202"/>
      <c r="O52" s="202"/>
      <c r="P52" s="202"/>
      <c r="U52" s="202"/>
      <c r="V52" s="202"/>
      <c r="W52" s="202"/>
      <c r="X52" s="202"/>
      <c r="Y52" s="202"/>
      <c r="Z52" s="202"/>
      <c r="AA52" s="202"/>
      <c r="AB52" s="202"/>
      <c r="AC52" s="202"/>
      <c r="AD52" s="202"/>
      <c r="AE52" s="202"/>
      <c r="AF52" s="202"/>
      <c r="AG52" s="202"/>
      <c r="AH52" s="202"/>
      <c r="AI52" s="202"/>
      <c r="AJ52" s="202"/>
      <c r="AK52" s="202"/>
      <c r="AL52" s="202"/>
      <c r="AM52" s="202"/>
    </row>
    <row r="53" spans="3:39" ht="26.1" customHeight="1">
      <c r="C53" s="202"/>
      <c r="D53" s="2215" t="s">
        <v>2062</v>
      </c>
      <c r="E53" s="2215"/>
      <c r="F53" s="2215"/>
      <c r="G53" s="2215"/>
      <c r="H53" s="2215"/>
      <c r="I53" s="2215"/>
      <c r="J53" s="2215"/>
      <c r="K53" s="2215"/>
      <c r="L53" s="2215"/>
      <c r="M53" s="2215"/>
      <c r="N53" s="2215"/>
      <c r="O53" s="2215"/>
      <c r="P53" s="2215"/>
      <c r="U53" s="202"/>
      <c r="V53" s="1736" t="s">
        <v>2062</v>
      </c>
      <c r="W53" s="1736"/>
      <c r="X53" s="1736"/>
      <c r="Y53" s="1736"/>
      <c r="Z53" s="1736"/>
      <c r="AA53" s="1736"/>
      <c r="AB53" s="1736"/>
      <c r="AC53" s="1736"/>
      <c r="AD53" s="1736"/>
      <c r="AE53" s="1736"/>
      <c r="AF53" s="1736"/>
      <c r="AG53" s="1736"/>
      <c r="AH53" s="1736"/>
      <c r="AI53" s="202"/>
      <c r="AJ53" s="202"/>
      <c r="AK53" s="202"/>
      <c r="AL53" s="202"/>
      <c r="AM53" s="202"/>
    </row>
    <row r="54" spans="3:39" ht="6" customHeight="1">
      <c r="C54" s="202"/>
      <c r="D54" s="202"/>
      <c r="E54" s="202"/>
      <c r="F54" s="202"/>
      <c r="G54" s="202"/>
      <c r="H54" s="202"/>
      <c r="I54" s="202"/>
      <c r="J54" s="202"/>
      <c r="K54" s="202"/>
      <c r="L54" s="202"/>
      <c r="M54" s="202"/>
      <c r="N54" s="202"/>
      <c r="O54" s="202"/>
      <c r="P54" s="202"/>
      <c r="U54" s="202"/>
      <c r="V54" s="202"/>
      <c r="W54" s="202"/>
      <c r="X54" s="202"/>
      <c r="Y54" s="202"/>
      <c r="Z54" s="202"/>
      <c r="AA54" s="202"/>
      <c r="AB54" s="202"/>
      <c r="AC54" s="202"/>
      <c r="AD54" s="202"/>
      <c r="AE54" s="202"/>
      <c r="AF54" s="202"/>
      <c r="AG54" s="202"/>
      <c r="AH54" s="202"/>
      <c r="AI54" s="202"/>
      <c r="AJ54" s="202"/>
      <c r="AK54" s="202"/>
      <c r="AL54" s="202"/>
      <c r="AM54" s="202"/>
    </row>
    <row r="55" spans="3:39" ht="15" customHeight="1" thickBot="1">
      <c r="C55" s="132">
        <v>3</v>
      </c>
      <c r="D55" s="1593" t="s">
        <v>851</v>
      </c>
      <c r="E55" s="1593"/>
      <c r="F55" s="1593"/>
      <c r="G55" s="1593"/>
      <c r="H55" s="1593"/>
      <c r="I55" s="1593"/>
      <c r="J55" s="1593"/>
      <c r="K55" s="1593"/>
      <c r="L55" s="1593"/>
      <c r="M55" s="1593"/>
      <c r="N55" s="1593"/>
      <c r="O55" s="1593"/>
      <c r="P55" s="13"/>
      <c r="U55" s="132">
        <v>3</v>
      </c>
      <c r="V55" s="1593" t="s">
        <v>851</v>
      </c>
      <c r="W55" s="1593"/>
      <c r="X55" s="1593"/>
      <c r="Y55" s="1593"/>
      <c r="Z55" s="1593"/>
      <c r="AA55" s="1593"/>
      <c r="AB55" s="1593"/>
      <c r="AC55" s="1593"/>
      <c r="AD55" s="1593"/>
      <c r="AE55" s="1593"/>
      <c r="AF55" s="1593"/>
      <c r="AG55" s="1593"/>
      <c r="AH55" s="507"/>
      <c r="AI55" s="37"/>
      <c r="AJ55" s="37"/>
      <c r="AK55" s="37"/>
      <c r="AL55" s="37"/>
      <c r="AM55" s="37"/>
    </row>
    <row r="56" spans="3:39" ht="6" customHeight="1" thickTop="1">
      <c r="C56" s="202"/>
      <c r="D56" s="202"/>
      <c r="E56" s="202"/>
      <c r="F56" s="202"/>
      <c r="G56" s="202"/>
      <c r="H56" s="202"/>
      <c r="I56" s="202"/>
      <c r="J56" s="202"/>
      <c r="K56" s="202"/>
      <c r="L56" s="202"/>
      <c r="M56" s="202"/>
      <c r="N56" s="202"/>
      <c r="O56" s="202"/>
      <c r="P56" s="202"/>
      <c r="U56" s="202"/>
      <c r="V56" s="202"/>
      <c r="W56" s="202"/>
      <c r="X56" s="202"/>
      <c r="Y56" s="202"/>
      <c r="Z56" s="202"/>
      <c r="AA56" s="202"/>
      <c r="AB56" s="202"/>
      <c r="AC56" s="202"/>
      <c r="AD56" s="202"/>
      <c r="AE56" s="202"/>
      <c r="AF56" s="202"/>
      <c r="AG56" s="202"/>
      <c r="AH56" s="202"/>
      <c r="AI56" s="202"/>
      <c r="AJ56" s="202"/>
      <c r="AK56" s="202"/>
      <c r="AL56" s="202"/>
      <c r="AM56" s="202"/>
    </row>
    <row r="57" spans="3:39" ht="15" customHeight="1" thickBot="1">
      <c r="C57" s="132">
        <v>4</v>
      </c>
      <c r="D57" s="1593" t="s">
        <v>852</v>
      </c>
      <c r="E57" s="1593"/>
      <c r="F57" s="1593"/>
      <c r="G57" s="1593"/>
      <c r="H57" s="1593"/>
      <c r="I57" s="1593"/>
      <c r="J57" s="1593"/>
      <c r="K57" s="1593"/>
      <c r="L57" s="1593"/>
      <c r="M57" s="1593"/>
      <c r="N57" s="1593"/>
      <c r="O57" s="1593"/>
      <c r="P57" s="13"/>
      <c r="U57" s="132">
        <v>4</v>
      </c>
      <c r="V57" s="1593" t="s">
        <v>852</v>
      </c>
      <c r="W57" s="1593"/>
      <c r="X57" s="1593"/>
      <c r="Y57" s="1593"/>
      <c r="Z57" s="1593"/>
      <c r="AA57" s="1593"/>
      <c r="AB57" s="1593"/>
      <c r="AC57" s="1593"/>
      <c r="AD57" s="1593"/>
      <c r="AE57" s="1593"/>
      <c r="AF57" s="1593"/>
      <c r="AG57" s="1593"/>
      <c r="AH57" s="507"/>
      <c r="AI57" s="37"/>
      <c r="AJ57" s="37"/>
      <c r="AK57" s="37"/>
      <c r="AL57" s="37"/>
      <c r="AM57" s="37"/>
    </row>
    <row r="58" spans="3:39" ht="6" customHeight="1" thickTop="1">
      <c r="C58" s="202"/>
      <c r="D58" s="202"/>
      <c r="E58" s="202"/>
      <c r="F58" s="202"/>
      <c r="G58" s="202"/>
      <c r="H58" s="202"/>
      <c r="I58" s="202"/>
      <c r="J58" s="202"/>
      <c r="K58" s="202"/>
      <c r="L58" s="202"/>
      <c r="M58" s="202"/>
      <c r="N58" s="202"/>
      <c r="O58" s="202"/>
      <c r="P58" s="202"/>
      <c r="U58" s="202"/>
      <c r="V58" s="202"/>
      <c r="W58" s="202"/>
      <c r="X58" s="202"/>
      <c r="Y58" s="202"/>
      <c r="Z58" s="202"/>
      <c r="AA58" s="202"/>
      <c r="AB58" s="202"/>
      <c r="AC58" s="202"/>
      <c r="AD58" s="202"/>
      <c r="AE58" s="202"/>
      <c r="AF58" s="202"/>
      <c r="AG58" s="202"/>
      <c r="AH58" s="202"/>
      <c r="AI58" s="202"/>
      <c r="AJ58" s="202"/>
      <c r="AK58" s="202"/>
      <c r="AL58" s="202"/>
      <c r="AM58" s="202"/>
    </row>
    <row r="59" spans="3:39" ht="26.1" customHeight="1" thickBot="1">
      <c r="C59" s="158">
        <v>5</v>
      </c>
      <c r="D59" s="1656" t="s">
        <v>2395</v>
      </c>
      <c r="E59" s="1656"/>
      <c r="F59" s="1656"/>
      <c r="G59" s="1656"/>
      <c r="H59" s="1656"/>
      <c r="I59" s="1656"/>
      <c r="J59" s="1656"/>
      <c r="K59" s="1656"/>
      <c r="L59" s="1656"/>
      <c r="M59" s="1656"/>
      <c r="N59" s="1656"/>
      <c r="O59" s="1656"/>
      <c r="P59" s="13"/>
      <c r="U59" s="158">
        <v>5</v>
      </c>
      <c r="V59" s="1656" t="s">
        <v>2063</v>
      </c>
      <c r="W59" s="1656"/>
      <c r="X59" s="1656"/>
      <c r="Y59" s="1656"/>
      <c r="Z59" s="1656"/>
      <c r="AA59" s="1656"/>
      <c r="AB59" s="1656"/>
      <c r="AC59" s="1656"/>
      <c r="AD59" s="1656"/>
      <c r="AE59" s="1656"/>
      <c r="AF59" s="1656"/>
      <c r="AG59" s="1656"/>
      <c r="AH59" s="507"/>
      <c r="AI59" s="37"/>
      <c r="AJ59" s="37"/>
      <c r="AK59" s="37"/>
      <c r="AL59" s="37"/>
      <c r="AM59" s="37"/>
    </row>
    <row r="60" spans="3:39" ht="6" customHeight="1" thickTop="1">
      <c r="C60" s="158"/>
      <c r="D60" s="447"/>
      <c r="E60" s="447"/>
      <c r="F60" s="447"/>
      <c r="G60" s="447"/>
      <c r="H60" s="447"/>
      <c r="I60" s="447"/>
      <c r="J60" s="447"/>
      <c r="K60" s="447"/>
      <c r="L60" s="447"/>
      <c r="M60" s="447"/>
      <c r="N60" s="447"/>
      <c r="O60" s="447"/>
      <c r="P60" s="37"/>
      <c r="U60" s="158"/>
      <c r="V60" s="447"/>
      <c r="W60" s="447"/>
      <c r="X60" s="447"/>
      <c r="Y60" s="447"/>
      <c r="Z60" s="447"/>
      <c r="AA60" s="447"/>
      <c r="AB60" s="447"/>
      <c r="AC60" s="447"/>
      <c r="AD60" s="447"/>
      <c r="AE60" s="447"/>
      <c r="AF60" s="447"/>
      <c r="AG60" s="447"/>
      <c r="AH60" s="37"/>
      <c r="AI60" s="37"/>
      <c r="AJ60" s="37"/>
      <c r="AK60" s="37"/>
      <c r="AL60" s="37"/>
      <c r="AM60" s="37"/>
    </row>
    <row r="61" spans="3:39" ht="26.1" customHeight="1" thickBot="1">
      <c r="C61" s="158">
        <v>6</v>
      </c>
      <c r="D61" s="1656" t="s">
        <v>2064</v>
      </c>
      <c r="E61" s="1656"/>
      <c r="F61" s="1656"/>
      <c r="G61" s="1656"/>
      <c r="H61" s="1656"/>
      <c r="I61" s="1656"/>
      <c r="J61" s="1656"/>
      <c r="K61" s="1656"/>
      <c r="L61" s="1656"/>
      <c r="M61" s="1656"/>
      <c r="N61" s="1656"/>
      <c r="O61" s="1656"/>
      <c r="P61" s="13"/>
      <c r="U61" s="158">
        <v>6</v>
      </c>
      <c r="V61" s="1656" t="s">
        <v>2064</v>
      </c>
      <c r="W61" s="1656"/>
      <c r="X61" s="1656"/>
      <c r="Y61" s="1656"/>
      <c r="Z61" s="1656"/>
      <c r="AA61" s="1656"/>
      <c r="AB61" s="1656"/>
      <c r="AC61" s="1656"/>
      <c r="AD61" s="1656"/>
      <c r="AE61" s="1656"/>
      <c r="AF61" s="1656"/>
      <c r="AG61" s="1656"/>
      <c r="AH61" s="507"/>
      <c r="AI61" s="37"/>
      <c r="AJ61" s="37"/>
      <c r="AK61" s="37"/>
      <c r="AL61" s="37"/>
      <c r="AM61" s="37"/>
    </row>
    <row r="62" spans="3:39" ht="6" customHeight="1" thickTop="1">
      <c r="C62" s="202"/>
      <c r="D62" s="202"/>
      <c r="E62" s="202"/>
      <c r="F62" s="202"/>
      <c r="G62" s="202"/>
      <c r="H62" s="202"/>
      <c r="I62" s="202"/>
      <c r="J62" s="202"/>
      <c r="K62" s="202"/>
      <c r="L62" s="202"/>
      <c r="M62" s="202"/>
      <c r="N62" s="202"/>
      <c r="O62" s="202"/>
      <c r="P62" s="202"/>
      <c r="U62" s="202"/>
      <c r="V62" s="202"/>
      <c r="W62" s="202"/>
      <c r="X62" s="202"/>
      <c r="Y62" s="202"/>
      <c r="Z62" s="202"/>
      <c r="AA62" s="202"/>
      <c r="AB62" s="202"/>
      <c r="AC62" s="202"/>
      <c r="AD62" s="202"/>
      <c r="AE62" s="202"/>
      <c r="AF62" s="202"/>
      <c r="AG62" s="202"/>
      <c r="AH62" s="202"/>
      <c r="AI62" s="202"/>
      <c r="AJ62" s="202"/>
      <c r="AK62" s="202"/>
      <c r="AL62" s="202"/>
      <c r="AM62" s="202"/>
    </row>
    <row r="63" spans="3:39" ht="26.1" customHeight="1">
      <c r="C63" s="202"/>
      <c r="D63" s="1736" t="s">
        <v>2268</v>
      </c>
      <c r="E63" s="1736"/>
      <c r="F63" s="1736"/>
      <c r="G63" s="1736"/>
      <c r="H63" s="1736"/>
      <c r="I63" s="1736"/>
      <c r="J63" s="1736"/>
      <c r="K63" s="1736"/>
      <c r="L63" s="1736"/>
      <c r="M63" s="1736"/>
      <c r="N63" s="1736"/>
      <c r="O63" s="1736"/>
      <c r="P63" s="1736"/>
      <c r="U63" s="202"/>
      <c r="V63" s="1736" t="s">
        <v>2268</v>
      </c>
      <c r="W63" s="1736"/>
      <c r="X63" s="1736"/>
      <c r="Y63" s="1736"/>
      <c r="Z63" s="1736"/>
      <c r="AA63" s="1736"/>
      <c r="AB63" s="1736"/>
      <c r="AC63" s="1736"/>
      <c r="AD63" s="1736"/>
      <c r="AE63" s="1736"/>
      <c r="AF63" s="1736"/>
      <c r="AG63" s="1736"/>
      <c r="AH63" s="1736"/>
      <c r="AI63" s="202"/>
      <c r="AJ63" s="202"/>
      <c r="AK63" s="202"/>
      <c r="AL63" s="202"/>
      <c r="AM63" s="202"/>
    </row>
    <row r="64" spans="3:39" ht="9.9499999999999993" customHeight="1">
      <c r="C64" s="202"/>
      <c r="D64" s="202"/>
      <c r="E64" s="202"/>
      <c r="F64" s="202"/>
      <c r="G64" s="202"/>
      <c r="H64" s="202"/>
      <c r="I64" s="202"/>
      <c r="J64" s="202"/>
      <c r="K64" s="202"/>
      <c r="L64" s="202"/>
      <c r="M64" s="202"/>
      <c r="N64" s="202"/>
      <c r="O64" s="202"/>
      <c r="P64" s="202"/>
      <c r="U64" s="202"/>
      <c r="V64" s="202"/>
      <c r="W64" s="202"/>
      <c r="X64" s="202"/>
      <c r="Y64" s="202"/>
      <c r="Z64" s="202"/>
      <c r="AA64" s="202"/>
      <c r="AB64" s="202"/>
      <c r="AC64" s="202"/>
      <c r="AD64" s="202"/>
      <c r="AE64" s="202"/>
      <c r="AF64" s="202"/>
      <c r="AG64" s="202"/>
      <c r="AH64" s="202"/>
      <c r="AI64" s="202"/>
      <c r="AJ64" s="202"/>
      <c r="AK64" s="202"/>
      <c r="AL64" s="202"/>
      <c r="AM64" s="202"/>
    </row>
  </sheetData>
  <sheetProtection algorithmName="SHA-512" hashValue="gki4eEVUM26XuPCg6QYXviBUXw6TTzNW6olQCuHWh18tMbJhepa+SJLltt4uxuZkANcsVLBTJjMF9pOo0OsDKQ==" saltValue="Ykk1IMjPYLcAT2hSDSGthA==" spinCount="100000" sheet="1" objects="1" scenarios="1"/>
  <mergeCells count="68">
    <mergeCell ref="D37:O37"/>
    <mergeCell ref="H11:L11"/>
    <mergeCell ref="D39:O39"/>
    <mergeCell ref="D61:O61"/>
    <mergeCell ref="D63:P63"/>
    <mergeCell ref="D59:O59"/>
    <mergeCell ref="D19:K19"/>
    <mergeCell ref="D21:K21"/>
    <mergeCell ref="C23:P23"/>
    <mergeCell ref="D25:K25"/>
    <mergeCell ref="D27:K27"/>
    <mergeCell ref="C35:P35"/>
    <mergeCell ref="D33:K33"/>
    <mergeCell ref="E31:O31"/>
    <mergeCell ref="E29:M29"/>
    <mergeCell ref="N29:P29"/>
    <mergeCell ref="D51:O51"/>
    <mergeCell ref="D53:P53"/>
    <mergeCell ref="D55:O55"/>
    <mergeCell ref="D57:O57"/>
    <mergeCell ref="D41:O41"/>
    <mergeCell ref="D43:O43"/>
    <mergeCell ref="C45:K45"/>
    <mergeCell ref="C47:P47"/>
    <mergeCell ref="D49:O49"/>
    <mergeCell ref="C10:M10"/>
    <mergeCell ref="N10:P10"/>
    <mergeCell ref="C13:P13"/>
    <mergeCell ref="D15:K15"/>
    <mergeCell ref="D17:K17"/>
    <mergeCell ref="C11:G11"/>
    <mergeCell ref="B3:P3"/>
    <mergeCell ref="C8:M8"/>
    <mergeCell ref="N8:P8"/>
    <mergeCell ref="C6:P6"/>
    <mergeCell ref="C5:L5"/>
    <mergeCell ref="M5:P5"/>
    <mergeCell ref="V59:AG59"/>
    <mergeCell ref="V61:AG61"/>
    <mergeCell ref="V53:AH53"/>
    <mergeCell ref="V49:AG49"/>
    <mergeCell ref="V51:AG51"/>
    <mergeCell ref="V55:AG55"/>
    <mergeCell ref="V57:AG57"/>
    <mergeCell ref="V17:AC17"/>
    <mergeCell ref="U47:AH47"/>
    <mergeCell ref="U45:AC45"/>
    <mergeCell ref="V37:AG37"/>
    <mergeCell ref="V39:AG39"/>
    <mergeCell ref="V41:AG41"/>
    <mergeCell ref="V43:AG43"/>
    <mergeCell ref="AG27:AH27"/>
    <mergeCell ref="T3:AH3"/>
    <mergeCell ref="V63:AH63"/>
    <mergeCell ref="U5:AE5"/>
    <mergeCell ref="AF8:AH8"/>
    <mergeCell ref="U8:AE8"/>
    <mergeCell ref="U10:AE10"/>
    <mergeCell ref="U35:AH35"/>
    <mergeCell ref="V25:AC25"/>
    <mergeCell ref="V27:AC27"/>
    <mergeCell ref="V33:AC33"/>
    <mergeCell ref="U13:AH13"/>
    <mergeCell ref="AG15:AH15"/>
    <mergeCell ref="U23:AH23"/>
    <mergeCell ref="V19:AC19"/>
    <mergeCell ref="V15:AC15"/>
    <mergeCell ref="V21:AC21"/>
  </mergeCells>
  <phoneticPr fontId="0" type="noConversion"/>
  <dataValidations count="5">
    <dataValidation type="list" allowBlank="1" showInputMessage="1" showErrorMessage="1" sqref="AH49 P49" xr:uid="{00000000-0002-0000-2600-000000000000}">
      <formula1>$AL$3:$AL$4</formula1>
    </dataValidation>
    <dataValidation type="list" allowBlank="1" showInputMessage="1" showErrorMessage="1" sqref="AH61 AH59 AH57 AH55 AH51 P61 P59 P57 P55 P51" xr:uid="{00000000-0002-0000-2600-000001000000}">
      <formula1>$AM$3:$AM$5</formula1>
    </dataValidation>
    <dataValidation type="list" errorStyle="warning" showInputMessage="1" showErrorMessage="1" errorTitle="SmartDox" error="The value you entered for the dropdown is not valid." sqref="M5" xr:uid="{00000000-0002-0000-2600-000002000000}">
      <formula1>SD_D_PL_PropertyType_Name</formula1>
    </dataValidation>
    <dataValidation type="list" errorStyle="warning" showInputMessage="1" showErrorMessage="1" errorTitle="SmartDox" error="The value you entered for the dropdown is not valid." sqref="N10:N11" xr:uid="{00000000-0002-0000-2600-000003000000}">
      <formula1>SD_D_PL_ResidentialApartmentType_Name</formula1>
    </dataValidation>
    <dataValidation type="list" errorStyle="warning" showInputMessage="1" showErrorMessage="1" errorTitle="SmartDox" error="The value you entered for the dropdown is not valid." sqref="AF8" xr:uid="{430C4FA4-835C-4990-9373-54ACF5C70E66}">
      <formula1>SD_D_PL_TargetType_Name</formula1>
    </dataValidation>
  </dataValidations>
  <pageMargins left="0.75" right="0.5" top="0.5" bottom="0.75" header="0" footer="0.5"/>
  <pageSetup scale="80" firstPageNumber="15" orientation="portrait" r:id="rId1"/>
  <headerFooter alignWithMargins="0">
    <oddFooter>&amp;C&amp;A&amp;R&amp;D &amp;T</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8">
    <pageSetUpPr fitToPage="1"/>
  </sheetPr>
  <dimension ref="A1:W42"/>
  <sheetViews>
    <sheetView workbookViewId="0"/>
  </sheetViews>
  <sheetFormatPr defaultRowHeight="12.75"/>
  <cols>
    <col min="1" max="1" width="4.7109375" customWidth="1"/>
    <col min="2" max="3" width="2.7109375" customWidth="1"/>
    <col min="4" max="4" width="16.7109375" customWidth="1"/>
    <col min="5" max="5" width="17.5703125" customWidth="1"/>
    <col min="6" max="6" width="1.7109375" customWidth="1"/>
    <col min="7" max="7" width="6.7109375" customWidth="1"/>
    <col min="8" max="8" width="1.7109375" customWidth="1"/>
    <col min="9" max="9" width="7.7109375" customWidth="1"/>
    <col min="10" max="10" width="1.7109375" customWidth="1"/>
    <col min="11" max="11" width="8.7109375" customWidth="1"/>
    <col min="12" max="12" width="7.85546875" customWidth="1"/>
    <col min="13" max="13" width="1.7109375" customWidth="1"/>
    <col min="14" max="14" width="3.7109375" customWidth="1"/>
    <col min="15" max="15" width="8.7109375" customWidth="1"/>
    <col min="16" max="16" width="1.7109375" customWidth="1"/>
    <col min="17" max="17" width="8.7109375" customWidth="1"/>
    <col min="18" max="18" width="1.7109375" customWidth="1"/>
    <col min="19" max="19" width="10.7109375" customWidth="1"/>
    <col min="21" max="21" width="5.7109375" style="937" customWidth="1"/>
    <col min="22" max="22" width="16" style="950" hidden="1" customWidth="1"/>
    <col min="23" max="23" width="5.7109375" style="937" customWidth="1"/>
  </cols>
  <sheetData>
    <row r="1" spans="1:23" s="40" customFormat="1">
      <c r="A1" s="1302" t="str">
        <f>IF('FORM 1040-1'!D15="","",'FORM 1040-1'!D15)</f>
        <v/>
      </c>
      <c r="B1" s="1302"/>
      <c r="C1" s="1302"/>
      <c r="D1" s="1302"/>
      <c r="E1" s="1302"/>
      <c r="F1" s="1302"/>
      <c r="G1" s="1302"/>
      <c r="H1" s="1302"/>
      <c r="I1" s="1302"/>
      <c r="J1" s="1302"/>
      <c r="K1" s="1302"/>
      <c r="L1" s="1302"/>
      <c r="M1" s="1302"/>
      <c r="N1" s="1302"/>
      <c r="O1" s="1302"/>
      <c r="P1" s="1302"/>
      <c r="Q1" s="1302"/>
      <c r="R1" s="1302"/>
      <c r="S1" s="1294" t="str">
        <f>IF('FORM 1040-1'!$E$12="","",'FORM 1040-1'!$E$12)</f>
        <v/>
      </c>
      <c r="U1" s="41"/>
      <c r="V1" s="293" t="s">
        <v>943</v>
      </c>
      <c r="W1" s="41"/>
    </row>
    <row r="2" spans="1:23" s="40" customFormat="1">
      <c r="R2" s="824"/>
      <c r="U2" s="41"/>
      <c r="V2" s="293" t="s">
        <v>1005</v>
      </c>
      <c r="W2" s="41"/>
    </row>
    <row r="3" spans="1:23" s="899" customFormat="1" ht="15.75" customHeight="1">
      <c r="A3" s="1678" t="s">
        <v>2042</v>
      </c>
      <c r="B3" s="1678"/>
      <c r="C3" s="1678"/>
      <c r="D3" s="1678"/>
      <c r="E3" s="1678"/>
      <c r="F3" s="1678"/>
      <c r="G3" s="1678"/>
      <c r="H3" s="1678"/>
      <c r="I3" s="1678"/>
      <c r="J3" s="1678"/>
      <c r="K3" s="1678"/>
      <c r="L3" s="1678"/>
      <c r="M3" s="1678"/>
      <c r="N3" s="1678"/>
      <c r="O3" s="1678"/>
      <c r="P3" s="1678"/>
      <c r="Q3" s="1678"/>
      <c r="R3" s="1678"/>
      <c r="S3" s="1678"/>
      <c r="U3" s="6"/>
      <c r="V3" s="930"/>
      <c r="W3" s="6"/>
    </row>
    <row r="4" spans="1:23" s="899" customFormat="1" ht="12.95" customHeight="1">
      <c r="C4" s="926"/>
      <c r="L4" s="918"/>
      <c r="N4" s="918"/>
      <c r="U4" s="6"/>
      <c r="V4" s="1116" t="s">
        <v>2032</v>
      </c>
      <c r="W4" s="6"/>
    </row>
    <row r="5" spans="1:23" s="899" customFormat="1" ht="15" customHeight="1">
      <c r="A5" s="897" t="s">
        <v>44</v>
      </c>
      <c r="B5" s="1603" t="s">
        <v>1996</v>
      </c>
      <c r="C5" s="1603"/>
      <c r="D5" s="1603"/>
      <c r="E5" s="1603"/>
      <c r="F5" s="1603"/>
      <c r="G5" s="1603"/>
      <c r="H5" s="1603"/>
      <c r="I5" s="1603"/>
      <c r="J5" s="1603"/>
      <c r="K5" s="1603"/>
      <c r="L5" s="1603"/>
      <c r="M5" s="1603"/>
      <c r="N5" s="1603"/>
      <c r="O5" s="1603"/>
      <c r="P5" s="1603"/>
      <c r="Q5" s="1603"/>
      <c r="R5" s="1603"/>
      <c r="S5" s="1603"/>
      <c r="U5" s="6"/>
      <c r="V5" s="1116" t="s">
        <v>2054</v>
      </c>
      <c r="W5" s="6"/>
    </row>
    <row r="6" spans="1:23" ht="26.1" customHeight="1">
      <c r="A6" s="897"/>
      <c r="B6" s="1656" t="s">
        <v>2889</v>
      </c>
      <c r="C6" s="1656"/>
      <c r="D6" s="1656"/>
      <c r="E6" s="1656"/>
      <c r="F6" s="1656"/>
      <c r="G6" s="1656"/>
      <c r="H6" s="1656"/>
      <c r="I6" s="1656"/>
      <c r="J6" s="1656"/>
      <c r="K6" s="1656"/>
      <c r="L6" s="1656"/>
      <c r="M6" s="1656"/>
      <c r="N6" s="1656"/>
      <c r="O6" s="1656"/>
      <c r="P6" s="1656"/>
      <c r="Q6" s="1656"/>
      <c r="R6" s="1656"/>
      <c r="S6" s="1656"/>
      <c r="V6" s="1116" t="s">
        <v>2053</v>
      </c>
    </row>
    <row r="7" spans="1:23" ht="18" customHeight="1" thickBot="1">
      <c r="A7" s="897"/>
      <c r="B7" s="1603" t="s">
        <v>1991</v>
      </c>
      <c r="C7" s="1603"/>
      <c r="D7" s="1603"/>
      <c r="E7" s="1605"/>
      <c r="F7" s="1605"/>
      <c r="G7" s="1605"/>
      <c r="H7" s="1605"/>
      <c r="I7" s="1605"/>
      <c r="J7" s="1605"/>
      <c r="K7" s="1605"/>
      <c r="L7" s="1677" t="s">
        <v>2711</v>
      </c>
      <c r="M7" s="1677"/>
      <c r="N7" s="1677"/>
      <c r="O7" s="1677"/>
      <c r="P7" s="1607"/>
      <c r="Q7" s="1607"/>
      <c r="R7" s="1607"/>
      <c r="S7" s="1607"/>
      <c r="V7" s="1116" t="s">
        <v>2055</v>
      </c>
    </row>
    <row r="8" spans="1:23" ht="26.1" customHeight="1" thickTop="1" thickBot="1">
      <c r="A8" s="897"/>
      <c r="B8" s="1603" t="s">
        <v>46</v>
      </c>
      <c r="C8" s="1603"/>
      <c r="D8" s="1603"/>
      <c r="E8" s="1650"/>
      <c r="F8" s="1650"/>
      <c r="G8" s="1650"/>
      <c r="H8" s="1650"/>
      <c r="I8" s="1650"/>
      <c r="J8" s="904"/>
      <c r="K8" s="1655"/>
      <c r="L8" s="1601"/>
      <c r="M8" s="1458"/>
      <c r="N8" s="1607"/>
      <c r="O8" s="1607"/>
      <c r="P8" s="904"/>
      <c r="Q8" s="895"/>
      <c r="R8" s="904"/>
      <c r="S8" s="904"/>
    </row>
    <row r="9" spans="1:23" ht="15" customHeight="1" thickTop="1">
      <c r="A9" s="897"/>
      <c r="B9" s="899"/>
      <c r="C9" s="926"/>
      <c r="D9" s="899"/>
      <c r="E9" s="1604" t="s">
        <v>413</v>
      </c>
      <c r="F9" s="1604"/>
      <c r="G9" s="1604"/>
      <c r="H9" s="1604"/>
      <c r="I9" s="1604"/>
      <c r="J9" s="902"/>
      <c r="K9" s="923" t="s">
        <v>414</v>
      </c>
      <c r="L9" s="923"/>
      <c r="M9" s="902"/>
      <c r="N9" s="1604" t="s">
        <v>417</v>
      </c>
      <c r="O9" s="1604"/>
      <c r="P9" s="902"/>
      <c r="Q9" s="897" t="s">
        <v>416</v>
      </c>
      <c r="R9" s="897"/>
      <c r="S9" s="897"/>
    </row>
    <row r="10" spans="1:23" ht="5.0999999999999996" customHeight="1">
      <c r="A10" s="897"/>
      <c r="B10" s="899"/>
      <c r="C10" s="926"/>
      <c r="D10" s="899"/>
      <c r="E10" s="899"/>
      <c r="F10" s="899"/>
      <c r="G10" s="899"/>
      <c r="H10" s="899"/>
      <c r="I10" s="899"/>
      <c r="J10" s="899"/>
      <c r="K10" s="899"/>
      <c r="L10" s="918"/>
      <c r="M10" s="899"/>
      <c r="N10" s="918"/>
      <c r="O10" s="899"/>
      <c r="P10" s="899"/>
      <c r="Q10" s="899"/>
      <c r="R10" s="899"/>
      <c r="S10" s="899"/>
    </row>
    <row r="11" spans="1:23" ht="18" customHeight="1" thickBot="1">
      <c r="A11" s="897"/>
      <c r="B11" s="1603" t="s">
        <v>528</v>
      </c>
      <c r="C11" s="1603"/>
      <c r="D11" s="1603"/>
      <c r="E11" s="894"/>
      <c r="F11" s="902"/>
      <c r="G11" s="894"/>
      <c r="H11" s="902"/>
      <c r="I11" s="1605"/>
      <c r="J11" s="1605"/>
      <c r="K11" s="1605"/>
      <c r="L11" s="1605"/>
      <c r="M11" s="900"/>
      <c r="N11" s="1676"/>
      <c r="O11" s="1676"/>
      <c r="P11" s="1676"/>
      <c r="Q11" s="1676"/>
      <c r="R11" s="905"/>
      <c r="S11" s="895"/>
    </row>
    <row r="12" spans="1:23" ht="15" customHeight="1" thickTop="1">
      <c r="A12" s="901"/>
      <c r="B12" s="905"/>
      <c r="C12" s="927"/>
      <c r="D12" s="905"/>
      <c r="E12" s="902" t="s">
        <v>524</v>
      </c>
      <c r="F12" s="902"/>
      <c r="G12" s="902" t="s">
        <v>495</v>
      </c>
      <c r="H12" s="902"/>
      <c r="I12" s="905" t="s">
        <v>525</v>
      </c>
      <c r="J12" s="905"/>
      <c r="K12" s="901"/>
      <c r="L12" s="922"/>
      <c r="M12" s="900"/>
      <c r="N12" s="1602" t="s">
        <v>2033</v>
      </c>
      <c r="O12" s="1602"/>
      <c r="P12" s="1602"/>
      <c r="Q12" s="1602"/>
      <c r="R12" s="905"/>
      <c r="S12" s="905" t="s">
        <v>526</v>
      </c>
    </row>
    <row r="13" spans="1:23" ht="5.0999999999999996" customHeight="1">
      <c r="A13" s="901"/>
      <c r="B13" s="905"/>
      <c r="C13" s="927"/>
      <c r="D13" s="905"/>
      <c r="E13" s="923"/>
      <c r="F13" s="923"/>
      <c r="G13" s="923"/>
      <c r="H13" s="923"/>
      <c r="I13" s="919"/>
      <c r="J13" s="919"/>
      <c r="K13" s="922"/>
      <c r="L13" s="922"/>
      <c r="M13" s="921"/>
      <c r="N13" s="921"/>
      <c r="O13" s="925"/>
      <c r="P13" s="925"/>
      <c r="Q13" s="925"/>
      <c r="R13" s="919"/>
      <c r="S13" s="919"/>
    </row>
    <row r="14" spans="1:23" ht="18" customHeight="1" thickBot="1">
      <c r="A14" s="897"/>
      <c r="B14" s="1598" t="s">
        <v>527</v>
      </c>
      <c r="C14" s="1598"/>
      <c r="D14" s="1598"/>
      <c r="E14" s="1675"/>
      <c r="F14" s="1675"/>
      <c r="G14" s="1675"/>
      <c r="H14" s="1675"/>
      <c r="I14" s="1675"/>
      <c r="J14" s="1675"/>
      <c r="K14" s="1675"/>
      <c r="L14" s="1675"/>
      <c r="M14" s="1675"/>
      <c r="N14" s="1675"/>
      <c r="O14" s="1599" t="s">
        <v>2029</v>
      </c>
      <c r="P14" s="1599"/>
      <c r="Q14" s="1601"/>
      <c r="R14" s="1601"/>
      <c r="S14" s="1601"/>
      <c r="T14" s="934"/>
    </row>
    <row r="15" spans="1:23" ht="13.5" thickTop="1"/>
    <row r="16" spans="1:23" ht="18" customHeight="1" thickBot="1">
      <c r="A16" s="897"/>
      <c r="B16" s="1603" t="s">
        <v>1992</v>
      </c>
      <c r="C16" s="1603"/>
      <c r="D16" s="1603"/>
      <c r="E16" s="1605"/>
      <c r="F16" s="1605"/>
      <c r="G16" s="1605"/>
      <c r="H16" s="1605"/>
      <c r="I16" s="1605"/>
      <c r="J16" s="1605"/>
      <c r="K16" s="1605"/>
      <c r="L16" s="1677" t="s">
        <v>2711</v>
      </c>
      <c r="M16" s="1677"/>
      <c r="N16" s="1677"/>
      <c r="O16" s="1677"/>
      <c r="P16" s="1607"/>
      <c r="Q16" s="1607"/>
      <c r="R16" s="1607"/>
      <c r="S16" s="1607"/>
    </row>
    <row r="17" spans="1:20" ht="26.1" customHeight="1" thickTop="1" thickBot="1">
      <c r="A17" s="920"/>
      <c r="B17" s="1603" t="s">
        <v>46</v>
      </c>
      <c r="C17" s="1603"/>
      <c r="D17" s="1603"/>
      <c r="E17" s="1650"/>
      <c r="F17" s="1650"/>
      <c r="G17" s="1650"/>
      <c r="H17" s="1650"/>
      <c r="I17" s="1650"/>
      <c r="J17" s="924"/>
      <c r="K17" s="1655"/>
      <c r="L17" s="1601"/>
      <c r="M17" s="1458"/>
      <c r="N17" s="1607"/>
      <c r="O17" s="1607"/>
      <c r="P17" s="924"/>
      <c r="Q17" s="917"/>
      <c r="R17" s="924"/>
      <c r="S17" s="924"/>
    </row>
    <row r="18" spans="1:20" ht="15" customHeight="1" thickTop="1">
      <c r="A18" s="920"/>
      <c r="B18" s="918"/>
      <c r="C18" s="926"/>
      <c r="D18" s="918"/>
      <c r="E18" s="1604" t="s">
        <v>413</v>
      </c>
      <c r="F18" s="1604"/>
      <c r="G18" s="1604"/>
      <c r="H18" s="1604"/>
      <c r="I18" s="1604"/>
      <c r="J18" s="923"/>
      <c r="K18" s="923" t="s">
        <v>414</v>
      </c>
      <c r="L18" s="923"/>
      <c r="M18" s="923"/>
      <c r="N18" s="1604" t="s">
        <v>417</v>
      </c>
      <c r="O18" s="1604"/>
      <c r="P18" s="923"/>
      <c r="Q18" s="920" t="s">
        <v>416</v>
      </c>
      <c r="R18" s="920"/>
      <c r="S18" s="920"/>
    </row>
    <row r="19" spans="1:20" ht="5.0999999999999996" customHeight="1">
      <c r="A19" s="920"/>
      <c r="B19" s="918"/>
      <c r="C19" s="926"/>
      <c r="D19" s="918"/>
      <c r="E19" s="918"/>
      <c r="F19" s="918"/>
      <c r="G19" s="918"/>
      <c r="H19" s="918"/>
      <c r="I19" s="918"/>
      <c r="J19" s="918"/>
      <c r="K19" s="918"/>
      <c r="L19" s="918"/>
      <c r="M19" s="918"/>
      <c r="N19" s="918"/>
      <c r="O19" s="918"/>
      <c r="P19" s="918"/>
      <c r="Q19" s="918"/>
      <c r="R19" s="918"/>
      <c r="S19" s="918"/>
    </row>
    <row r="20" spans="1:20" ht="18" customHeight="1" thickBot="1">
      <c r="A20" s="920"/>
      <c r="B20" s="1603" t="s">
        <v>528</v>
      </c>
      <c r="C20" s="1603"/>
      <c r="D20" s="1603"/>
      <c r="E20" s="916"/>
      <c r="F20" s="923"/>
      <c r="G20" s="916"/>
      <c r="H20" s="923"/>
      <c r="I20" s="1605"/>
      <c r="J20" s="1605"/>
      <c r="K20" s="1605"/>
      <c r="L20" s="1605"/>
      <c r="M20" s="921"/>
      <c r="N20" s="1676"/>
      <c r="O20" s="1676"/>
      <c r="P20" s="1676"/>
      <c r="Q20" s="1676"/>
      <c r="R20" s="919"/>
      <c r="S20" s="917"/>
    </row>
    <row r="21" spans="1:20" ht="15" customHeight="1" thickTop="1">
      <c r="A21" s="922"/>
      <c r="B21" s="919"/>
      <c r="C21" s="927"/>
      <c r="D21" s="919"/>
      <c r="E21" s="923" t="s">
        <v>524</v>
      </c>
      <c r="F21" s="923"/>
      <c r="G21" s="923" t="s">
        <v>495</v>
      </c>
      <c r="H21" s="923"/>
      <c r="I21" s="919" t="s">
        <v>525</v>
      </c>
      <c r="J21" s="919"/>
      <c r="K21" s="922"/>
      <c r="L21" s="922"/>
      <c r="M21" s="921"/>
      <c r="N21" s="1602" t="s">
        <v>2033</v>
      </c>
      <c r="O21" s="1602"/>
      <c r="P21" s="1602"/>
      <c r="Q21" s="1602"/>
      <c r="R21" s="919"/>
      <c r="S21" s="919" t="s">
        <v>526</v>
      </c>
    </row>
    <row r="22" spans="1:20" ht="5.0999999999999996" customHeight="1">
      <c r="A22" s="922"/>
      <c r="B22" s="919"/>
      <c r="C22" s="927"/>
      <c r="D22" s="919"/>
      <c r="E22" s="923"/>
      <c r="F22" s="923"/>
      <c r="G22" s="923"/>
      <c r="H22" s="923"/>
      <c r="I22" s="919"/>
      <c r="J22" s="919"/>
      <c r="K22" s="922"/>
      <c r="L22" s="922"/>
      <c r="M22" s="921"/>
      <c r="N22" s="921"/>
      <c r="O22" s="925"/>
      <c r="P22" s="925"/>
      <c r="Q22" s="925"/>
      <c r="R22" s="919"/>
      <c r="S22" s="919"/>
    </row>
    <row r="23" spans="1:20" ht="18" customHeight="1" thickBot="1">
      <c r="A23" s="930"/>
      <c r="B23" s="1598" t="s">
        <v>527</v>
      </c>
      <c r="C23" s="1598"/>
      <c r="D23" s="1598"/>
      <c r="E23" s="1675"/>
      <c r="F23" s="1675"/>
      <c r="G23" s="1675"/>
      <c r="H23" s="1675"/>
      <c r="I23" s="1675"/>
      <c r="J23" s="1675"/>
      <c r="K23" s="1675"/>
      <c r="L23" s="1675"/>
      <c r="M23" s="1675"/>
      <c r="N23" s="1675"/>
      <c r="O23" s="1599" t="s">
        <v>2029</v>
      </c>
      <c r="P23" s="1599"/>
      <c r="Q23" s="1601"/>
      <c r="R23" s="1601"/>
      <c r="S23" s="1601"/>
      <c r="T23" s="934"/>
    </row>
    <row r="24" spans="1:20" ht="13.5" thickTop="1"/>
    <row r="25" spans="1:20" ht="18" customHeight="1" thickBot="1">
      <c r="A25" s="897"/>
      <c r="B25" s="1603" t="s">
        <v>1993</v>
      </c>
      <c r="C25" s="1603"/>
      <c r="D25" s="1603"/>
      <c r="E25" s="1605"/>
      <c r="F25" s="1605"/>
      <c r="G25" s="1605"/>
      <c r="H25" s="1605"/>
      <c r="I25" s="1605"/>
      <c r="J25" s="1605"/>
      <c r="K25" s="1605"/>
      <c r="L25" s="1677" t="s">
        <v>2711</v>
      </c>
      <c r="M25" s="1677"/>
      <c r="N25" s="1677"/>
      <c r="O25" s="1677"/>
      <c r="P25" s="1607"/>
      <c r="Q25" s="1607"/>
      <c r="R25" s="1607"/>
      <c r="S25" s="1607"/>
    </row>
    <row r="26" spans="1:20" ht="26.1" customHeight="1" thickTop="1" thickBot="1">
      <c r="A26" s="920"/>
      <c r="B26" s="1603" t="s">
        <v>46</v>
      </c>
      <c r="C26" s="1603"/>
      <c r="D26" s="1603"/>
      <c r="E26" s="1650"/>
      <c r="F26" s="1650"/>
      <c r="G26" s="1650"/>
      <c r="H26" s="1650"/>
      <c r="I26" s="1650"/>
      <c r="J26" s="924"/>
      <c r="K26" s="1655"/>
      <c r="L26" s="1601"/>
      <c r="M26" s="1458"/>
      <c r="N26" s="1607"/>
      <c r="O26" s="1607"/>
      <c r="P26" s="924"/>
      <c r="Q26" s="917"/>
      <c r="R26" s="924"/>
      <c r="S26" s="924"/>
    </row>
    <row r="27" spans="1:20" ht="15" customHeight="1" thickTop="1">
      <c r="A27" s="920"/>
      <c r="B27" s="918"/>
      <c r="C27" s="926"/>
      <c r="D27" s="918"/>
      <c r="E27" s="1604" t="s">
        <v>413</v>
      </c>
      <c r="F27" s="1604"/>
      <c r="G27" s="1604"/>
      <c r="H27" s="1604"/>
      <c r="I27" s="1604"/>
      <c r="J27" s="923"/>
      <c r="K27" s="923" t="s">
        <v>414</v>
      </c>
      <c r="L27" s="923"/>
      <c r="M27" s="923"/>
      <c r="N27" s="1604" t="s">
        <v>417</v>
      </c>
      <c r="O27" s="1604"/>
      <c r="P27" s="923"/>
      <c r="Q27" s="920" t="s">
        <v>416</v>
      </c>
      <c r="R27" s="920"/>
      <c r="S27" s="920"/>
    </row>
    <row r="28" spans="1:20" ht="5.0999999999999996" customHeight="1">
      <c r="A28" s="920"/>
      <c r="B28" s="918"/>
      <c r="C28" s="926"/>
      <c r="D28" s="918"/>
      <c r="E28" s="918"/>
      <c r="F28" s="918"/>
      <c r="G28" s="918"/>
      <c r="H28" s="918"/>
      <c r="I28" s="918"/>
      <c r="J28" s="918"/>
      <c r="K28" s="918"/>
      <c r="L28" s="918"/>
      <c r="M28" s="918"/>
      <c r="N28" s="918"/>
      <c r="O28" s="918"/>
      <c r="P28" s="918"/>
      <c r="Q28" s="918"/>
      <c r="R28" s="918"/>
      <c r="S28" s="918"/>
    </row>
    <row r="29" spans="1:20" ht="18" customHeight="1" thickBot="1">
      <c r="A29" s="920"/>
      <c r="B29" s="1603" t="s">
        <v>528</v>
      </c>
      <c r="C29" s="1603"/>
      <c r="D29" s="1603"/>
      <c r="E29" s="916"/>
      <c r="F29" s="923"/>
      <c r="G29" s="916"/>
      <c r="H29" s="923"/>
      <c r="I29" s="1605"/>
      <c r="J29" s="1605"/>
      <c r="K29" s="1605"/>
      <c r="L29" s="1605"/>
      <c r="M29" s="921"/>
      <c r="N29" s="1676"/>
      <c r="O29" s="1676"/>
      <c r="P29" s="1676"/>
      <c r="Q29" s="1676"/>
      <c r="R29" s="919"/>
      <c r="S29" s="917"/>
    </row>
    <row r="30" spans="1:20" ht="15" customHeight="1" thickTop="1">
      <c r="A30" s="922"/>
      <c r="B30" s="919"/>
      <c r="C30" s="927"/>
      <c r="D30" s="919"/>
      <c r="E30" s="923" t="s">
        <v>524</v>
      </c>
      <c r="F30" s="923"/>
      <c r="G30" s="923" t="s">
        <v>495</v>
      </c>
      <c r="H30" s="923"/>
      <c r="I30" s="919" t="s">
        <v>525</v>
      </c>
      <c r="J30" s="919"/>
      <c r="K30" s="922"/>
      <c r="L30" s="922"/>
      <c r="M30" s="921"/>
      <c r="N30" s="1602" t="s">
        <v>2033</v>
      </c>
      <c r="O30" s="1602"/>
      <c r="P30" s="1602"/>
      <c r="Q30" s="1602"/>
      <c r="R30" s="919"/>
      <c r="S30" s="919" t="s">
        <v>526</v>
      </c>
    </row>
    <row r="31" spans="1:20" ht="5.0999999999999996" customHeight="1">
      <c r="A31" s="922"/>
      <c r="B31" s="919"/>
      <c r="C31" s="927"/>
      <c r="D31" s="919"/>
      <c r="E31" s="923"/>
      <c r="F31" s="923"/>
      <c r="G31" s="923"/>
      <c r="H31" s="923"/>
      <c r="I31" s="919"/>
      <c r="J31" s="919"/>
      <c r="K31" s="922"/>
      <c r="L31" s="922"/>
      <c r="M31" s="921"/>
      <c r="N31" s="921"/>
      <c r="O31" s="925"/>
      <c r="P31" s="925"/>
      <c r="Q31" s="925"/>
      <c r="R31" s="919"/>
      <c r="S31" s="919"/>
    </row>
    <row r="32" spans="1:20" ht="18" customHeight="1" thickBot="1">
      <c r="A32" s="930"/>
      <c r="B32" s="1598" t="s">
        <v>527</v>
      </c>
      <c r="C32" s="1598"/>
      <c r="D32" s="1598"/>
      <c r="E32" s="1675"/>
      <c r="F32" s="1675"/>
      <c r="G32" s="1675"/>
      <c r="H32" s="1675"/>
      <c r="I32" s="1675"/>
      <c r="J32" s="1675"/>
      <c r="K32" s="1675"/>
      <c r="L32" s="1675"/>
      <c r="M32" s="1675"/>
      <c r="N32" s="1675"/>
      <c r="O32" s="1599" t="s">
        <v>2029</v>
      </c>
      <c r="P32" s="1599"/>
      <c r="Q32" s="1601"/>
      <c r="R32" s="1601"/>
      <c r="S32" s="1601"/>
      <c r="T32" s="934"/>
    </row>
    <row r="33" spans="1:20" ht="13.5" thickTop="1"/>
    <row r="34" spans="1:20" ht="18" customHeight="1" thickBot="1">
      <c r="A34" s="897"/>
      <c r="B34" s="1603" t="s">
        <v>1994</v>
      </c>
      <c r="C34" s="1603"/>
      <c r="D34" s="1603"/>
      <c r="E34" s="1605"/>
      <c r="F34" s="1605"/>
      <c r="G34" s="1605"/>
      <c r="H34" s="1605"/>
      <c r="I34" s="1605"/>
      <c r="J34" s="1605"/>
      <c r="K34" s="1605"/>
      <c r="L34" s="1677" t="s">
        <v>2711</v>
      </c>
      <c r="M34" s="1677"/>
      <c r="N34" s="1677"/>
      <c r="O34" s="1677"/>
      <c r="P34" s="1607"/>
      <c r="Q34" s="1607"/>
      <c r="R34" s="1607"/>
      <c r="S34" s="1607"/>
    </row>
    <row r="35" spans="1:20" ht="26.1" customHeight="1" thickTop="1" thickBot="1">
      <c r="A35" s="920"/>
      <c r="B35" s="1603" t="s">
        <v>46</v>
      </c>
      <c r="C35" s="1603"/>
      <c r="D35" s="1603"/>
      <c r="E35" s="1650"/>
      <c r="F35" s="1650"/>
      <c r="G35" s="1650"/>
      <c r="H35" s="1650"/>
      <c r="I35" s="1650"/>
      <c r="J35" s="1459"/>
      <c r="K35" s="1655"/>
      <c r="L35" s="1601"/>
      <c r="M35" s="1458"/>
      <c r="N35" s="1607"/>
      <c r="O35" s="1607"/>
      <c r="P35" s="1459"/>
      <c r="Q35" s="1453"/>
      <c r="R35" s="1459"/>
      <c r="S35" s="1459"/>
    </row>
    <row r="36" spans="1:20" ht="15" customHeight="1" thickTop="1">
      <c r="A36" s="920"/>
      <c r="B36" s="918"/>
      <c r="C36" s="926"/>
      <c r="D36" s="918"/>
      <c r="E36" s="1604" t="s">
        <v>413</v>
      </c>
      <c r="F36" s="1604"/>
      <c r="G36" s="1604"/>
      <c r="H36" s="1604"/>
      <c r="I36" s="1604"/>
      <c r="J36" s="923"/>
      <c r="K36" s="923" t="s">
        <v>414</v>
      </c>
      <c r="L36" s="923"/>
      <c r="M36" s="923"/>
      <c r="N36" s="1604" t="s">
        <v>417</v>
      </c>
      <c r="O36" s="1604"/>
      <c r="P36" s="923"/>
      <c r="Q36" s="920" t="s">
        <v>416</v>
      </c>
      <c r="R36" s="920"/>
      <c r="S36" s="920"/>
    </row>
    <row r="37" spans="1:20" ht="5.0999999999999996" customHeight="1">
      <c r="A37" s="920"/>
      <c r="B37" s="918"/>
      <c r="C37" s="926"/>
      <c r="D37" s="918"/>
      <c r="E37" s="918"/>
      <c r="F37" s="918"/>
      <c r="G37" s="918"/>
      <c r="H37" s="918"/>
      <c r="I37" s="918"/>
      <c r="J37" s="918"/>
      <c r="K37" s="918"/>
      <c r="L37" s="918"/>
      <c r="M37" s="918"/>
      <c r="N37" s="918"/>
      <c r="O37" s="918"/>
      <c r="P37" s="918"/>
      <c r="Q37" s="918"/>
      <c r="R37" s="918"/>
      <c r="S37" s="918"/>
    </row>
    <row r="38" spans="1:20" ht="18" customHeight="1" thickBot="1">
      <c r="A38" s="920"/>
      <c r="B38" s="1603" t="s">
        <v>528</v>
      </c>
      <c r="C38" s="1603"/>
      <c r="D38" s="1603"/>
      <c r="E38" s="916"/>
      <c r="F38" s="923"/>
      <c r="G38" s="916"/>
      <c r="H38" s="923"/>
      <c r="I38" s="1605"/>
      <c r="J38" s="1605"/>
      <c r="K38" s="1605"/>
      <c r="L38" s="1605"/>
      <c r="M38" s="921"/>
      <c r="N38" s="1676"/>
      <c r="O38" s="1676"/>
      <c r="P38" s="1676"/>
      <c r="Q38" s="1676"/>
      <c r="R38" s="919"/>
      <c r="S38" s="917"/>
    </row>
    <row r="39" spans="1:20" ht="15" customHeight="1" thickTop="1">
      <c r="A39" s="922"/>
      <c r="B39" s="919"/>
      <c r="C39" s="927"/>
      <c r="D39" s="919"/>
      <c r="E39" s="923" t="s">
        <v>524</v>
      </c>
      <c r="F39" s="923"/>
      <c r="G39" s="923" t="s">
        <v>495</v>
      </c>
      <c r="H39" s="923"/>
      <c r="I39" s="919" t="s">
        <v>525</v>
      </c>
      <c r="J39" s="919"/>
      <c r="K39" s="922"/>
      <c r="L39" s="922"/>
      <c r="M39" s="921"/>
      <c r="N39" s="1602" t="s">
        <v>2033</v>
      </c>
      <c r="O39" s="1602"/>
      <c r="P39" s="1602"/>
      <c r="Q39" s="1602"/>
      <c r="R39" s="919"/>
      <c r="S39" s="919" t="s">
        <v>526</v>
      </c>
    </row>
    <row r="40" spans="1:20" ht="5.0999999999999996" customHeight="1">
      <c r="A40" s="922"/>
      <c r="B40" s="919"/>
      <c r="C40" s="927"/>
      <c r="D40" s="919"/>
      <c r="E40" s="923"/>
      <c r="F40" s="923"/>
      <c r="G40" s="923"/>
      <c r="H40" s="923"/>
      <c r="I40" s="919"/>
      <c r="J40" s="919"/>
      <c r="K40" s="922"/>
      <c r="L40" s="922"/>
      <c r="M40" s="921"/>
      <c r="N40" s="921"/>
      <c r="O40" s="925"/>
      <c r="P40" s="925"/>
      <c r="Q40" s="925"/>
      <c r="R40" s="919"/>
      <c r="S40" s="919"/>
    </row>
    <row r="41" spans="1:20" ht="18" customHeight="1" thickBot="1">
      <c r="A41" s="930"/>
      <c r="B41" s="1598" t="s">
        <v>527</v>
      </c>
      <c r="C41" s="1598"/>
      <c r="D41" s="1598"/>
      <c r="E41" s="1675"/>
      <c r="F41" s="1675"/>
      <c r="G41" s="1675"/>
      <c r="H41" s="1675"/>
      <c r="I41" s="1675"/>
      <c r="J41" s="1675"/>
      <c r="K41" s="1675"/>
      <c r="L41" s="1675"/>
      <c r="M41" s="1675"/>
      <c r="N41" s="1675"/>
      <c r="O41" s="1599" t="s">
        <v>2029</v>
      </c>
      <c r="P41" s="1599"/>
      <c r="Q41" s="1601"/>
      <c r="R41" s="1601"/>
      <c r="S41" s="1601"/>
      <c r="T41" s="934"/>
    </row>
    <row r="42" spans="1:20" ht="13.5" thickTop="1"/>
  </sheetData>
  <sheetProtection algorithmName="SHA-512" hashValue="V/0qhDUl4JP+41DMjZX4WJbIyPWOmOD3j7hDhWMsDquYwyjpifXVnLcjIZ6qTPPGwu1REk79SKquKUavbgaTGA==" saltValue="oRizwDaldKmmM5nvwCUK1Q==" spinCount="100000" sheet="1" objects="1" scenarios="1"/>
  <mergeCells count="75">
    <mergeCell ref="N36:O36"/>
    <mergeCell ref="L7:O7"/>
    <mergeCell ref="P7:S7"/>
    <mergeCell ref="E7:K7"/>
    <mergeCell ref="E16:K16"/>
    <mergeCell ref="L16:O16"/>
    <mergeCell ref="P16:S16"/>
    <mergeCell ref="E9:I9"/>
    <mergeCell ref="N17:O17"/>
    <mergeCell ref="N18:O18"/>
    <mergeCell ref="I20:L20"/>
    <mergeCell ref="N20:Q20"/>
    <mergeCell ref="N21:Q21"/>
    <mergeCell ref="E18:I18"/>
    <mergeCell ref="L34:O34"/>
    <mergeCell ref="P34:S34"/>
    <mergeCell ref="B34:D34"/>
    <mergeCell ref="B35:D35"/>
    <mergeCell ref="A3:S3"/>
    <mergeCell ref="B5:S5"/>
    <mergeCell ref="N35:O35"/>
    <mergeCell ref="B16:D16"/>
    <mergeCell ref="B11:D11"/>
    <mergeCell ref="B6:S6"/>
    <mergeCell ref="B7:D7"/>
    <mergeCell ref="B8:D8"/>
    <mergeCell ref="Q14:S14"/>
    <mergeCell ref="K8:L8"/>
    <mergeCell ref="O14:P14"/>
    <mergeCell ref="N11:Q11"/>
    <mergeCell ref="I11:L11"/>
    <mergeCell ref="N12:Q12"/>
    <mergeCell ref="B14:D14"/>
    <mergeCell ref="N8:O8"/>
    <mergeCell ref="N9:O9"/>
    <mergeCell ref="B17:D17"/>
    <mergeCell ref="E17:I17"/>
    <mergeCell ref="E8:I8"/>
    <mergeCell ref="E14:N14"/>
    <mergeCell ref="B20:D20"/>
    <mergeCell ref="K17:L17"/>
    <mergeCell ref="N27:O27"/>
    <mergeCell ref="I29:L29"/>
    <mergeCell ref="N29:Q29"/>
    <mergeCell ref="N30:Q30"/>
    <mergeCell ref="E27:I27"/>
    <mergeCell ref="B23:D23"/>
    <mergeCell ref="B25:D25"/>
    <mergeCell ref="B26:D26"/>
    <mergeCell ref="E26:I26"/>
    <mergeCell ref="K26:L26"/>
    <mergeCell ref="N26:O26"/>
    <mergeCell ref="E23:N23"/>
    <mergeCell ref="O23:P23"/>
    <mergeCell ref="Q23:S23"/>
    <mergeCell ref="E25:K25"/>
    <mergeCell ref="L25:O25"/>
    <mergeCell ref="P25:S25"/>
    <mergeCell ref="B29:D29"/>
    <mergeCell ref="B32:D32"/>
    <mergeCell ref="N39:Q39"/>
    <mergeCell ref="B41:D41"/>
    <mergeCell ref="K35:L35"/>
    <mergeCell ref="I38:L38"/>
    <mergeCell ref="E32:N32"/>
    <mergeCell ref="O32:P32"/>
    <mergeCell ref="Q32:S32"/>
    <mergeCell ref="E41:N41"/>
    <mergeCell ref="O41:P41"/>
    <mergeCell ref="Q41:S41"/>
    <mergeCell ref="E35:I35"/>
    <mergeCell ref="E36:I36"/>
    <mergeCell ref="N38:Q38"/>
    <mergeCell ref="B38:D38"/>
    <mergeCell ref="E34:K34"/>
  </mergeCells>
  <dataValidations count="4">
    <dataValidation type="list" errorStyle="warning" showInputMessage="1" showErrorMessage="1" errorTitle="SmartDox" error="The value you entered for the dropdown is not valid." sqref="N8 N26 N17 N35" xr:uid="{00000000-0002-0000-0300-000000000000}">
      <formula1>SD_D_PL_State_Name</formula1>
    </dataValidation>
    <dataValidation type="textLength" allowBlank="1" showInputMessage="1" showErrorMessage="1" error="Only enter 10-digit number, no dashes or spaces." sqref="N29 N11 N20 N38" xr:uid="{00000000-0002-0000-0300-000001000000}">
      <formula1>10</formula1>
      <formula2>10</formula2>
    </dataValidation>
    <dataValidation type="list" allowBlank="1" showInputMessage="1" showErrorMessage="1" sqref="Q14 Q41 Q23 Q32" xr:uid="{00000000-0002-0000-0300-000002000000}">
      <formula1>$V$1:$V$2</formula1>
    </dataValidation>
    <dataValidation type="list" allowBlank="1" showInputMessage="1" showErrorMessage="1" sqref="P7:S7 P16:S16 P25:S25 P34:S34" xr:uid="{E9C4D7D0-F42F-442D-84C5-5ADCBB59D11D}">
      <formula1>$V$4:$V$7</formula1>
    </dataValidation>
  </dataValidations>
  <pageMargins left="0.75" right="0.5" top="0.5" bottom="0.75" header="0.3" footer="0.5"/>
  <pageSetup scale="80" orientation="portrait" verticalDpi="0" r:id="rId1"/>
  <headerFooter>
    <oddFooter>&amp;C&amp;A&amp;R&amp;D&amp;T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6">
    <pageSetUpPr fitToPage="1"/>
  </sheetPr>
  <dimension ref="A1:X61"/>
  <sheetViews>
    <sheetView zoomScaleNormal="100" workbookViewId="0"/>
  </sheetViews>
  <sheetFormatPr defaultColWidth="10.7109375" defaultRowHeight="12.75"/>
  <cols>
    <col min="1" max="1" width="6.42578125" style="4" bestFit="1" customWidth="1"/>
    <col min="2" max="2" width="3.7109375" style="85" customWidth="1"/>
    <col min="3" max="3" width="2.7109375" style="4" customWidth="1"/>
    <col min="4" max="4" width="4.7109375" style="4" customWidth="1"/>
    <col min="5" max="5" width="2.7109375" style="4" customWidth="1"/>
    <col min="6" max="6" width="4.7109375" style="4" customWidth="1"/>
    <col min="7" max="7" width="2.7109375" style="4" customWidth="1"/>
    <col min="8" max="8" width="4.7109375" style="4" customWidth="1"/>
    <col min="9" max="9" width="2.7109375" style="4" customWidth="1"/>
    <col min="10" max="10" width="8.7109375" style="4" customWidth="1"/>
    <col min="11" max="11" width="2.7109375" style="4" customWidth="1"/>
    <col min="12" max="12" width="4.7109375" style="4" customWidth="1"/>
    <col min="13" max="13" width="18.7109375" style="951" customWidth="1"/>
    <col min="14" max="14" width="14.7109375" style="952" customWidth="1"/>
    <col min="15" max="16" width="9.7109375" style="4" customWidth="1"/>
    <col min="17" max="17" width="12.7109375" style="4" customWidth="1"/>
    <col min="18" max="19" width="10.7109375" style="4" customWidth="1"/>
    <col min="20" max="20" width="5.7109375" style="6" customWidth="1"/>
    <col min="21" max="23" width="10.7109375" style="4" hidden="1" customWidth="1"/>
    <col min="24" max="24" width="5.7109375" style="6" customWidth="1"/>
    <col min="25" max="28" width="10.7109375" style="4" customWidth="1"/>
    <col min="29" max="16384" width="10.7109375" style="4"/>
  </cols>
  <sheetData>
    <row r="1" spans="1:24" s="814" customFormat="1">
      <c r="A1" s="1302" t="str">
        <f>IF('FORM 1040-1'!D15="","",'FORM 1040-1'!D15)</f>
        <v/>
      </c>
      <c r="B1" s="1305"/>
      <c r="C1" s="1303"/>
      <c r="D1" s="1303"/>
      <c r="E1" s="1303"/>
      <c r="F1" s="1303"/>
      <c r="G1" s="1303"/>
      <c r="H1" s="1303"/>
      <c r="I1" s="1303"/>
      <c r="J1" s="1303"/>
      <c r="K1" s="1303"/>
      <c r="L1" s="1303"/>
      <c r="M1" s="1304"/>
      <c r="N1" s="1303"/>
      <c r="O1" s="1303"/>
      <c r="P1" s="1303"/>
      <c r="Q1" s="1294" t="str">
        <f>IF('FORM 1040-1'!$E$12="","",'FORM 1040-1'!$E$12)</f>
        <v/>
      </c>
      <c r="T1" s="6"/>
      <c r="U1" s="616" t="s">
        <v>1016</v>
      </c>
      <c r="V1" s="22" t="b">
        <v>1</v>
      </c>
      <c r="W1" s="22" t="b">
        <v>1</v>
      </c>
      <c r="X1" s="6"/>
    </row>
    <row r="2" spans="1:24" s="814" customFormat="1">
      <c r="B2" s="85"/>
      <c r="M2" s="951"/>
      <c r="N2" s="952"/>
      <c r="T2" s="6"/>
      <c r="U2" s="22" t="s">
        <v>1017</v>
      </c>
      <c r="V2" s="22" t="b">
        <v>0</v>
      </c>
      <c r="W2" s="22" t="b">
        <v>0</v>
      </c>
      <c r="X2" s="6"/>
    </row>
    <row r="3" spans="1:24" s="1222" customFormat="1">
      <c r="A3" s="12" t="s">
        <v>915</v>
      </c>
      <c r="B3" s="1226" t="s">
        <v>42</v>
      </c>
      <c r="C3" s="1593" t="s">
        <v>186</v>
      </c>
      <c r="D3" s="1593"/>
      <c r="E3" s="1593"/>
      <c r="F3" s="1593"/>
      <c r="G3" s="1593"/>
      <c r="H3" s="1593"/>
      <c r="I3" s="1593"/>
      <c r="J3" s="1593"/>
      <c r="K3" s="1593"/>
      <c r="L3" s="1593"/>
      <c r="M3" s="1593"/>
      <c r="N3" s="1593"/>
      <c r="O3" s="1593"/>
      <c r="P3" s="1593"/>
      <c r="T3" s="6"/>
      <c r="V3" s="4"/>
      <c r="W3" s="293" t="s">
        <v>312</v>
      </c>
      <c r="X3" s="6"/>
    </row>
    <row r="4" spans="1:24" s="1222" customFormat="1" ht="12" customHeight="1">
      <c r="C4" s="1225"/>
      <c r="D4" s="1225"/>
      <c r="E4" s="1225"/>
      <c r="F4" s="1225"/>
      <c r="G4" s="1225"/>
      <c r="H4" s="1225"/>
      <c r="I4" s="1225"/>
      <c r="J4" s="1225"/>
      <c r="K4" s="1225"/>
      <c r="L4" s="1225"/>
      <c r="M4" s="1225"/>
      <c r="N4" s="1225"/>
      <c r="O4" s="1225"/>
      <c r="P4" s="1225"/>
      <c r="T4" s="6"/>
      <c r="X4" s="6"/>
    </row>
    <row r="5" spans="1:24" s="1222" customFormat="1" ht="15" customHeight="1" thickBot="1">
      <c r="C5" s="132">
        <v>1</v>
      </c>
      <c r="D5" s="1593" t="s">
        <v>853</v>
      </c>
      <c r="E5" s="1593"/>
      <c r="F5" s="1593"/>
      <c r="G5" s="1593"/>
      <c r="H5" s="1593"/>
      <c r="I5" s="1593"/>
      <c r="J5" s="1593"/>
      <c r="K5" s="1593"/>
      <c r="L5" s="1593"/>
      <c r="M5" s="1593"/>
      <c r="N5" s="1593"/>
      <c r="O5" s="1593"/>
      <c r="P5" s="1593"/>
      <c r="Q5" s="1223"/>
      <c r="T5" s="6"/>
      <c r="X5" s="6"/>
    </row>
    <row r="6" spans="1:24" s="1222" customFormat="1" ht="6" customHeight="1" thickTop="1">
      <c r="C6" s="1225"/>
      <c r="D6" s="1225"/>
      <c r="E6" s="1225"/>
      <c r="F6" s="1225"/>
      <c r="G6" s="1225"/>
      <c r="H6" s="1225"/>
      <c r="I6" s="1225"/>
      <c r="J6" s="1225"/>
      <c r="K6" s="1225"/>
      <c r="L6" s="1225"/>
      <c r="M6" s="1225"/>
      <c r="N6" s="1225"/>
      <c r="O6" s="1225"/>
      <c r="Q6" s="1225"/>
      <c r="T6" s="6"/>
      <c r="X6" s="6"/>
    </row>
    <row r="7" spans="1:24" s="1222" customFormat="1" ht="26.1" customHeight="1" thickBot="1">
      <c r="C7" s="158">
        <v>2</v>
      </c>
      <c r="D7" s="1752" t="s">
        <v>2396</v>
      </c>
      <c r="E7" s="1752"/>
      <c r="F7" s="1752"/>
      <c r="G7" s="1752"/>
      <c r="H7" s="1752"/>
      <c r="I7" s="1752"/>
      <c r="J7" s="1752"/>
      <c r="K7" s="1752"/>
      <c r="L7" s="1752"/>
      <c r="M7" s="1752"/>
      <c r="N7" s="1752"/>
      <c r="O7" s="1752"/>
      <c r="P7" s="1752"/>
      <c r="Q7" s="1221"/>
      <c r="T7" s="6"/>
      <c r="X7" s="6"/>
    </row>
    <row r="8" spans="1:24" s="1222" customFormat="1" ht="6" customHeight="1" thickTop="1">
      <c r="C8" s="1225"/>
      <c r="D8" s="1225"/>
      <c r="E8" s="1225"/>
      <c r="F8" s="1225"/>
      <c r="G8" s="1225"/>
      <c r="H8" s="1225"/>
      <c r="I8" s="1225"/>
      <c r="J8" s="1225"/>
      <c r="K8" s="1225"/>
      <c r="L8" s="1225"/>
      <c r="M8" s="1225"/>
      <c r="N8" s="1225"/>
      <c r="O8" s="1225"/>
      <c r="Q8" s="1225"/>
      <c r="T8" s="6"/>
      <c r="X8" s="6"/>
    </row>
    <row r="9" spans="1:24" s="1222" customFormat="1" ht="26.1" customHeight="1" thickBot="1">
      <c r="C9" s="158">
        <v>3</v>
      </c>
      <c r="D9" s="1752" t="s">
        <v>2397</v>
      </c>
      <c r="E9" s="1752"/>
      <c r="F9" s="1752"/>
      <c r="G9" s="1752"/>
      <c r="H9" s="1752"/>
      <c r="I9" s="1752"/>
      <c r="J9" s="1752"/>
      <c r="K9" s="1752"/>
      <c r="L9" s="1752"/>
      <c r="M9" s="1752"/>
      <c r="N9" s="1752"/>
      <c r="O9" s="1752"/>
      <c r="P9" s="1752"/>
      <c r="Q9" s="1221"/>
      <c r="T9" s="6"/>
      <c r="X9" s="6"/>
    </row>
    <row r="10" spans="1:24" s="1222" customFormat="1" ht="6" customHeight="1" thickTop="1">
      <c r="C10" s="1225"/>
      <c r="D10" s="1225"/>
      <c r="E10" s="1225"/>
      <c r="F10" s="1225"/>
      <c r="G10" s="1225"/>
      <c r="H10" s="1225"/>
      <c r="I10" s="1225"/>
      <c r="J10" s="1225"/>
      <c r="K10" s="1225"/>
      <c r="L10" s="1225"/>
      <c r="M10" s="1225"/>
      <c r="N10" s="1225"/>
      <c r="O10" s="1225"/>
      <c r="Q10" s="1225"/>
      <c r="T10" s="6"/>
      <c r="X10" s="6"/>
    </row>
    <row r="11" spans="1:24" s="1222" customFormat="1" ht="39" customHeight="1" thickBot="1">
      <c r="B11" s="1226"/>
      <c r="C11" s="158">
        <v>4</v>
      </c>
      <c r="D11" s="1656" t="s">
        <v>854</v>
      </c>
      <c r="E11" s="1656"/>
      <c r="F11" s="1656"/>
      <c r="G11" s="1656"/>
      <c r="H11" s="1656"/>
      <c r="I11" s="1656"/>
      <c r="J11" s="1656"/>
      <c r="K11" s="1656"/>
      <c r="L11" s="1656"/>
      <c r="M11" s="1656"/>
      <c r="N11" s="1656"/>
      <c r="O11" s="1656"/>
      <c r="P11" s="1656"/>
      <c r="Q11" s="1221"/>
      <c r="T11" s="6"/>
      <c r="X11" s="6"/>
    </row>
    <row r="12" spans="1:24" s="1222" customFormat="1" ht="6" customHeight="1" thickTop="1">
      <c r="B12" s="1226"/>
      <c r="C12" s="1225"/>
      <c r="D12" s="1225"/>
      <c r="E12" s="1225"/>
      <c r="F12" s="1225"/>
      <c r="G12" s="1225"/>
      <c r="H12" s="1225"/>
      <c r="I12" s="1225"/>
      <c r="J12" s="1225"/>
      <c r="K12" s="1225"/>
      <c r="L12" s="1225"/>
      <c r="M12" s="1225"/>
      <c r="N12" s="1225"/>
      <c r="O12" s="1225"/>
      <c r="P12" s="1225"/>
      <c r="T12" s="6"/>
      <c r="X12" s="6"/>
    </row>
    <row r="13" spans="1:24" s="1222" customFormat="1" ht="12.6" customHeight="1">
      <c r="B13" s="1226"/>
      <c r="C13" s="1225"/>
      <c r="D13" s="1736" t="s">
        <v>855</v>
      </c>
      <c r="E13" s="1736"/>
      <c r="F13" s="1736"/>
      <c r="G13" s="1736"/>
      <c r="H13" s="1736"/>
      <c r="I13" s="1736"/>
      <c r="J13" s="1736"/>
      <c r="K13" s="1736"/>
      <c r="L13" s="1736"/>
      <c r="M13" s="1736"/>
      <c r="N13" s="1736"/>
      <c r="O13" s="1736"/>
      <c r="P13" s="1736"/>
      <c r="Q13" s="1736"/>
      <c r="T13" s="6"/>
      <c r="X13" s="6"/>
    </row>
    <row r="14" spans="1:24" s="1222" customFormat="1" ht="6" customHeight="1">
      <c r="B14" s="1226"/>
      <c r="M14" s="1220"/>
      <c r="T14" s="6"/>
      <c r="X14" s="6"/>
    </row>
    <row r="15" spans="1:24" ht="15" customHeight="1">
      <c r="B15" s="85" t="s">
        <v>110</v>
      </c>
      <c r="C15" s="1694" t="s">
        <v>188</v>
      </c>
      <c r="D15" s="1694"/>
      <c r="E15" s="1694"/>
      <c r="F15" s="1694"/>
      <c r="G15" s="1694"/>
      <c r="H15" s="1694"/>
      <c r="I15" s="1694"/>
      <c r="J15" s="1694"/>
      <c r="K15" s="1694"/>
      <c r="L15" s="1694"/>
      <c r="M15" s="1694"/>
      <c r="N15" s="1694"/>
      <c r="O15" s="1694"/>
      <c r="P15" s="1694"/>
      <c r="Q15" s="1694"/>
    </row>
    <row r="16" spans="1:24" ht="12" customHeight="1">
      <c r="C16" s="202"/>
      <c r="D16" s="202"/>
      <c r="E16" s="202"/>
      <c r="F16" s="202"/>
      <c r="G16" s="202"/>
      <c r="H16" s="202"/>
      <c r="I16" s="202"/>
      <c r="J16" s="202"/>
      <c r="K16" s="202"/>
      <c r="L16" s="202"/>
      <c r="N16" s="953"/>
      <c r="O16" s="202"/>
      <c r="P16" s="202"/>
      <c r="Q16" s="202"/>
    </row>
    <row r="17" spans="2:24" ht="15" customHeight="1" thickBot="1">
      <c r="C17" s="132">
        <v>1</v>
      </c>
      <c r="D17" s="1593" t="s">
        <v>2328</v>
      </c>
      <c r="E17" s="1593"/>
      <c r="F17" s="1593"/>
      <c r="G17" s="1593"/>
      <c r="H17" s="1593"/>
      <c r="I17" s="1593"/>
      <c r="J17" s="1593"/>
      <c r="K17" s="1593"/>
      <c r="L17" s="1593"/>
      <c r="M17" s="1593"/>
      <c r="N17" s="1593"/>
      <c r="O17" s="1593"/>
      <c r="P17" s="1593"/>
      <c r="Q17" s="13"/>
    </row>
    <row r="18" spans="2:24" ht="6" customHeight="1" thickTop="1">
      <c r="C18" s="202"/>
      <c r="D18" s="202"/>
      <c r="E18" s="202"/>
      <c r="F18" s="202"/>
      <c r="G18" s="202"/>
      <c r="H18" s="202"/>
      <c r="I18" s="202"/>
      <c r="J18" s="202"/>
      <c r="K18" s="202"/>
      <c r="L18" s="202"/>
      <c r="N18" s="953"/>
      <c r="O18" s="202"/>
      <c r="P18" s="202"/>
      <c r="Q18" s="202"/>
      <c r="R18" s="40"/>
      <c r="S18" s="40"/>
    </row>
    <row r="19" spans="2:24" s="979" customFormat="1" ht="15" customHeight="1">
      <c r="B19" s="982"/>
      <c r="C19" s="132">
        <v>2</v>
      </c>
      <c r="D19" s="1656" t="s">
        <v>2074</v>
      </c>
      <c r="E19" s="1656"/>
      <c r="F19" s="1656"/>
      <c r="G19" s="1656"/>
      <c r="H19" s="1656"/>
      <c r="I19" s="1656"/>
      <c r="J19" s="1656"/>
      <c r="K19" s="1656"/>
      <c r="L19" s="1656"/>
      <c r="M19" s="1656"/>
      <c r="N19" s="1656"/>
      <c r="O19" s="1656"/>
      <c r="P19" s="1656"/>
      <c r="Q19" s="1656"/>
      <c r="R19" s="983"/>
      <c r="S19" s="983"/>
      <c r="T19" s="490"/>
      <c r="V19" s="983"/>
      <c r="X19" s="490"/>
    </row>
    <row r="20" spans="2:24" ht="6" customHeight="1" thickBot="1">
      <c r="C20" s="171"/>
      <c r="D20" s="202"/>
      <c r="E20" s="202"/>
      <c r="F20" s="202"/>
      <c r="G20" s="202"/>
      <c r="H20" s="202"/>
      <c r="I20" s="202"/>
      <c r="J20" s="202"/>
      <c r="K20" s="202"/>
      <c r="L20" s="202"/>
      <c r="N20" s="953"/>
      <c r="O20" s="202"/>
      <c r="P20" s="202"/>
      <c r="Q20" s="202"/>
    </row>
    <row r="21" spans="2:24" ht="53.1" customHeight="1" thickTop="1" thickBot="1">
      <c r="C21" s="202"/>
      <c r="D21" s="1780" t="s">
        <v>189</v>
      </c>
      <c r="E21" s="1843"/>
      <c r="F21" s="1843"/>
      <c r="G21" s="1843"/>
      <c r="H21" s="1843"/>
      <c r="I21" s="1843"/>
      <c r="J21" s="1843"/>
      <c r="K21" s="1843"/>
      <c r="L21" s="1781"/>
      <c r="M21" s="980" t="s">
        <v>2057</v>
      </c>
      <c r="N21" s="536" t="s">
        <v>2662</v>
      </c>
      <c r="O21" s="493" t="s">
        <v>190</v>
      </c>
      <c r="P21" s="954" t="s">
        <v>2421</v>
      </c>
      <c r="Q21" s="536" t="s">
        <v>2056</v>
      </c>
      <c r="R21" s="40"/>
      <c r="S21" s="40"/>
    </row>
    <row r="22" spans="2:24" s="216" customFormat="1" ht="26.1" customHeight="1" thickTop="1" thickBot="1">
      <c r="B22" s="961"/>
      <c r="C22" s="218"/>
      <c r="D22" s="2217"/>
      <c r="E22" s="2218"/>
      <c r="F22" s="2218"/>
      <c r="G22" s="2218"/>
      <c r="H22" s="2218"/>
      <c r="I22" s="2218"/>
      <c r="J22" s="2218"/>
      <c r="K22" s="2218"/>
      <c r="L22" s="2219"/>
      <c r="M22" s="1010"/>
      <c r="N22" s="964"/>
      <c r="O22" s="962"/>
      <c r="P22" s="963"/>
      <c r="Q22" s="966"/>
      <c r="R22" s="965"/>
      <c r="S22" s="965"/>
      <c r="T22" s="217"/>
      <c r="X22" s="217"/>
    </row>
    <row r="23" spans="2:24" s="216" customFormat="1" ht="26.1" customHeight="1" thickTop="1" thickBot="1">
      <c r="B23" s="961"/>
      <c r="C23" s="218"/>
      <c r="D23" s="2217"/>
      <c r="E23" s="2218"/>
      <c r="F23" s="2218"/>
      <c r="G23" s="2218"/>
      <c r="H23" s="2218"/>
      <c r="I23" s="2218"/>
      <c r="J23" s="2218"/>
      <c r="K23" s="2218"/>
      <c r="L23" s="2219"/>
      <c r="M23" s="1010"/>
      <c r="N23" s="964"/>
      <c r="O23" s="962"/>
      <c r="P23" s="963"/>
      <c r="Q23" s="966"/>
      <c r="R23" s="965"/>
      <c r="S23" s="965"/>
      <c r="T23" s="217"/>
      <c r="X23" s="217"/>
    </row>
    <row r="24" spans="2:24" s="216" customFormat="1" ht="26.1" customHeight="1" thickTop="1" thickBot="1">
      <c r="B24" s="961"/>
      <c r="C24" s="218"/>
      <c r="D24" s="2217"/>
      <c r="E24" s="2218"/>
      <c r="F24" s="2218"/>
      <c r="G24" s="2218"/>
      <c r="H24" s="2218"/>
      <c r="I24" s="2218"/>
      <c r="J24" s="2218"/>
      <c r="K24" s="2218"/>
      <c r="L24" s="2219"/>
      <c r="M24" s="1010"/>
      <c r="N24" s="964"/>
      <c r="O24" s="962"/>
      <c r="P24" s="963"/>
      <c r="Q24" s="966"/>
      <c r="R24" s="965"/>
      <c r="S24" s="965"/>
      <c r="T24" s="217"/>
      <c r="X24" s="217"/>
    </row>
    <row r="25" spans="2:24" s="216" customFormat="1" ht="26.1" customHeight="1" thickTop="1" thickBot="1">
      <c r="B25" s="961"/>
      <c r="C25" s="218"/>
      <c r="D25" s="2217"/>
      <c r="E25" s="2218"/>
      <c r="F25" s="2218"/>
      <c r="G25" s="2218"/>
      <c r="H25" s="2218"/>
      <c r="I25" s="2218"/>
      <c r="J25" s="2218"/>
      <c r="K25" s="2218"/>
      <c r="L25" s="2219"/>
      <c r="M25" s="1010"/>
      <c r="N25" s="964"/>
      <c r="O25" s="962"/>
      <c r="P25" s="963"/>
      <c r="Q25" s="966"/>
      <c r="R25" s="965"/>
      <c r="S25" s="965"/>
      <c r="T25" s="217"/>
      <c r="X25" s="217"/>
    </row>
    <row r="26" spans="2:24" s="216" customFormat="1" ht="26.1" customHeight="1" thickTop="1" thickBot="1">
      <c r="B26" s="961"/>
      <c r="C26" s="218"/>
      <c r="D26" s="2217"/>
      <c r="E26" s="2218"/>
      <c r="F26" s="2218"/>
      <c r="G26" s="2218"/>
      <c r="H26" s="2218"/>
      <c r="I26" s="2218"/>
      <c r="J26" s="2218"/>
      <c r="K26" s="2218"/>
      <c r="L26" s="2219"/>
      <c r="M26" s="1010"/>
      <c r="N26" s="964"/>
      <c r="O26" s="962"/>
      <c r="P26" s="963"/>
      <c r="Q26" s="966"/>
      <c r="R26" s="965"/>
      <c r="S26" s="965"/>
      <c r="T26" s="217"/>
      <c r="X26" s="217"/>
    </row>
    <row r="27" spans="2:24" ht="6" customHeight="1" thickTop="1">
      <c r="C27" s="202"/>
      <c r="D27" s="202"/>
      <c r="E27" s="202"/>
      <c r="F27" s="202"/>
      <c r="G27" s="202"/>
      <c r="H27" s="202"/>
      <c r="I27" s="202"/>
      <c r="J27" s="202"/>
      <c r="K27" s="202"/>
      <c r="L27" s="202"/>
      <c r="N27" s="953"/>
      <c r="O27" s="202"/>
      <c r="P27" s="202"/>
      <c r="Q27" s="202"/>
      <c r="R27" s="40"/>
      <c r="S27" s="40"/>
    </row>
    <row r="28" spans="2:24" ht="26.1" customHeight="1" thickBot="1">
      <c r="C28" s="158">
        <v>3</v>
      </c>
      <c r="D28" s="1656" t="s">
        <v>917</v>
      </c>
      <c r="E28" s="1656"/>
      <c r="F28" s="1656"/>
      <c r="G28" s="1656"/>
      <c r="H28" s="1656"/>
      <c r="I28" s="1656"/>
      <c r="J28" s="1656"/>
      <c r="K28" s="1656"/>
      <c r="L28" s="1656"/>
      <c r="M28" s="1656"/>
      <c r="N28" s="1656"/>
      <c r="O28" s="1656"/>
      <c r="P28" s="1656"/>
      <c r="Q28" s="427"/>
      <c r="R28" s="40"/>
      <c r="S28" s="40"/>
    </row>
    <row r="29" spans="2:24" ht="6" customHeight="1" thickTop="1">
      <c r="C29" s="202"/>
      <c r="D29" s="202"/>
      <c r="E29" s="202"/>
      <c r="F29" s="202"/>
      <c r="G29" s="202"/>
      <c r="H29" s="202"/>
      <c r="I29" s="202"/>
      <c r="J29" s="202"/>
      <c r="K29" s="202"/>
      <c r="L29" s="202"/>
      <c r="N29" s="953"/>
      <c r="O29" s="202"/>
      <c r="P29" s="202"/>
      <c r="Q29" s="202"/>
      <c r="R29" s="40"/>
      <c r="S29" s="40"/>
    </row>
    <row r="30" spans="2:24" ht="15" customHeight="1">
      <c r="C30" s="202"/>
      <c r="D30" s="2197" t="s">
        <v>918</v>
      </c>
      <c r="E30" s="2197"/>
      <c r="F30" s="2197"/>
      <c r="G30" s="2197"/>
      <c r="H30" s="2197"/>
      <c r="I30" s="2197"/>
      <c r="J30" s="2197"/>
      <c r="K30" s="2197"/>
      <c r="L30" s="2197"/>
      <c r="M30" s="2197"/>
      <c r="N30" s="2197"/>
      <c r="O30" s="2197"/>
      <c r="P30" s="2197"/>
      <c r="Q30" s="2197"/>
      <c r="R30" s="40"/>
      <c r="S30" s="40"/>
    </row>
    <row r="31" spans="2:24" ht="6" customHeight="1">
      <c r="C31" s="202"/>
      <c r="D31" s="202"/>
      <c r="E31" s="202"/>
      <c r="F31" s="202"/>
      <c r="G31" s="202"/>
      <c r="H31" s="202"/>
      <c r="I31" s="202"/>
      <c r="J31" s="202"/>
      <c r="K31" s="202"/>
      <c r="L31" s="202"/>
      <c r="N31" s="953"/>
      <c r="O31" s="202"/>
      <c r="P31" s="202"/>
      <c r="Q31" s="202"/>
    </row>
    <row r="32" spans="2:24" s="1041" customFormat="1" ht="26.1" customHeight="1" thickBot="1">
      <c r="B32" s="1056"/>
      <c r="C32" s="158">
        <v>4</v>
      </c>
      <c r="D32" s="1752" t="s">
        <v>2398</v>
      </c>
      <c r="E32" s="1752"/>
      <c r="F32" s="1752"/>
      <c r="G32" s="1752"/>
      <c r="H32" s="1752"/>
      <c r="I32" s="1752"/>
      <c r="J32" s="1752"/>
      <c r="K32" s="1752"/>
      <c r="L32" s="1752"/>
      <c r="M32" s="1752"/>
      <c r="N32" s="1752"/>
      <c r="O32" s="1752"/>
      <c r="P32" s="1752"/>
      <c r="Q32" s="1040"/>
      <c r="T32" s="6"/>
      <c r="X32" s="6"/>
    </row>
    <row r="33" spans="2:24" s="1041" customFormat="1" ht="6" customHeight="1" thickTop="1">
      <c r="B33" s="1056"/>
      <c r="C33" s="1045"/>
      <c r="D33" s="1045"/>
      <c r="E33" s="1045"/>
      <c r="F33" s="1045"/>
      <c r="G33" s="1045"/>
      <c r="H33" s="1045"/>
      <c r="I33" s="1045"/>
      <c r="J33" s="1045"/>
      <c r="K33" s="1045"/>
      <c r="L33" s="1045"/>
      <c r="M33" s="1038"/>
      <c r="N33" s="1045"/>
      <c r="O33" s="1045"/>
      <c r="P33" s="1045"/>
      <c r="Q33" s="1045"/>
      <c r="T33" s="6"/>
      <c r="X33" s="6"/>
    </row>
    <row r="34" spans="2:24" ht="15" customHeight="1">
      <c r="B34" s="85" t="s">
        <v>111</v>
      </c>
      <c r="C34" s="1694" t="s">
        <v>191</v>
      </c>
      <c r="D34" s="1694"/>
      <c r="E34" s="1694"/>
      <c r="F34" s="1694"/>
      <c r="G34" s="1694"/>
      <c r="H34" s="1694"/>
      <c r="I34" s="1694"/>
      <c r="J34" s="1694"/>
      <c r="K34" s="1694"/>
      <c r="L34" s="1694"/>
      <c r="M34" s="1694"/>
      <c r="N34" s="1694"/>
      <c r="O34" s="1694"/>
      <c r="P34" s="1694"/>
      <c r="Q34" s="1694"/>
    </row>
    <row r="35" spans="2:24" ht="12.95" customHeight="1">
      <c r="C35" s="202"/>
      <c r="D35" s="202"/>
      <c r="E35" s="202"/>
      <c r="F35" s="202"/>
      <c r="G35" s="202"/>
      <c r="H35" s="202"/>
      <c r="I35" s="202"/>
      <c r="J35" s="202"/>
      <c r="K35" s="202"/>
      <c r="L35" s="202"/>
      <c r="N35" s="953"/>
      <c r="O35" s="202"/>
      <c r="P35" s="202"/>
      <c r="Q35" s="202"/>
    </row>
    <row r="36" spans="2:24" ht="39" customHeight="1" thickBot="1">
      <c r="C36" s="158">
        <v>1</v>
      </c>
      <c r="D36" s="1752" t="s">
        <v>2354</v>
      </c>
      <c r="E36" s="1752"/>
      <c r="F36" s="1752"/>
      <c r="G36" s="1752"/>
      <c r="H36" s="1752"/>
      <c r="I36" s="1752"/>
      <c r="J36" s="1752"/>
      <c r="K36" s="1752"/>
      <c r="L36" s="1752"/>
      <c r="M36" s="1752"/>
      <c r="N36" s="1752"/>
      <c r="O36" s="1752"/>
      <c r="P36" s="1752"/>
      <c r="Q36" s="13"/>
    </row>
    <row r="37" spans="2:24" ht="6" customHeight="1" thickTop="1">
      <c r="C37" s="207"/>
      <c r="D37" s="202"/>
      <c r="E37" s="202"/>
      <c r="F37" s="202"/>
      <c r="G37" s="202"/>
      <c r="H37" s="202"/>
      <c r="I37" s="202"/>
      <c r="J37" s="202"/>
      <c r="K37" s="202"/>
      <c r="L37" s="202"/>
      <c r="N37" s="953"/>
      <c r="O37" s="202"/>
      <c r="P37" s="202"/>
      <c r="Q37" s="202"/>
    </row>
    <row r="38" spans="2:24" ht="26.1" customHeight="1" thickBot="1">
      <c r="C38" s="158">
        <v>2</v>
      </c>
      <c r="D38" s="1656" t="s">
        <v>2355</v>
      </c>
      <c r="E38" s="1656"/>
      <c r="F38" s="1656"/>
      <c r="G38" s="1656"/>
      <c r="H38" s="1656"/>
      <c r="I38" s="1656"/>
      <c r="J38" s="1656"/>
      <c r="K38" s="1656"/>
      <c r="L38" s="1656"/>
      <c r="M38" s="1656"/>
      <c r="N38" s="1656"/>
      <c r="O38" s="1656"/>
      <c r="P38" s="1656"/>
      <c r="Q38" s="427"/>
    </row>
    <row r="39" spans="2:24" ht="6" customHeight="1" thickTop="1">
      <c r="C39" s="207"/>
      <c r="D39" s="202"/>
      <c r="E39" s="202"/>
      <c r="F39" s="202"/>
      <c r="G39" s="202"/>
      <c r="H39" s="202"/>
      <c r="I39" s="202"/>
      <c r="J39" s="202"/>
      <c r="K39" s="202"/>
      <c r="L39" s="202"/>
      <c r="N39" s="953"/>
      <c r="O39" s="202"/>
      <c r="P39" s="202"/>
      <c r="Q39" s="202"/>
    </row>
    <row r="40" spans="2:24" ht="25.5" customHeight="1" thickBot="1">
      <c r="C40" s="158">
        <v>3</v>
      </c>
      <c r="D40" s="1656" t="s">
        <v>2356</v>
      </c>
      <c r="E40" s="1656"/>
      <c r="F40" s="1656"/>
      <c r="G40" s="1656"/>
      <c r="H40" s="1656"/>
      <c r="I40" s="1656"/>
      <c r="J40" s="1656"/>
      <c r="K40" s="1656"/>
      <c r="L40" s="1656"/>
      <c r="M40" s="1656"/>
      <c r="N40" s="1656"/>
      <c r="O40" s="1656"/>
      <c r="P40" s="1656"/>
      <c r="Q40" s="427"/>
    </row>
    <row r="41" spans="2:24" ht="6" customHeight="1" thickTop="1">
      <c r="C41" s="202"/>
      <c r="D41" s="308"/>
      <c r="E41" s="202"/>
      <c r="F41" s="202"/>
      <c r="G41" s="202"/>
      <c r="H41" s="202"/>
      <c r="I41" s="202"/>
      <c r="J41" s="202"/>
      <c r="K41" s="202"/>
      <c r="L41" s="202"/>
      <c r="N41" s="953"/>
      <c r="O41" s="202"/>
      <c r="P41" s="202"/>
      <c r="Q41" s="202"/>
    </row>
    <row r="42" spans="2:24" ht="15" customHeight="1">
      <c r="B42" s="85" t="s">
        <v>112</v>
      </c>
      <c r="C42" s="1694" t="s">
        <v>192</v>
      </c>
      <c r="D42" s="1694"/>
      <c r="E42" s="1694"/>
      <c r="F42" s="1694"/>
      <c r="G42" s="1694"/>
      <c r="H42" s="1694"/>
      <c r="I42" s="1694"/>
      <c r="J42" s="1694"/>
      <c r="K42" s="1694"/>
      <c r="L42" s="1694"/>
      <c r="M42" s="1694"/>
      <c r="N42" s="1694"/>
      <c r="O42" s="1694"/>
      <c r="P42" s="1694"/>
      <c r="Q42" s="1694"/>
    </row>
    <row r="43" spans="2:24" ht="12.95" customHeight="1">
      <c r="C43" s="202"/>
      <c r="D43" s="202"/>
      <c r="E43" s="202"/>
      <c r="F43" s="202"/>
      <c r="G43" s="202"/>
      <c r="H43" s="202"/>
      <c r="I43" s="202"/>
      <c r="J43" s="202"/>
      <c r="K43" s="202"/>
      <c r="L43" s="202"/>
      <c r="N43" s="953"/>
      <c r="O43" s="202"/>
      <c r="P43" s="202"/>
      <c r="Q43" s="202"/>
    </row>
    <row r="44" spans="2:24" ht="15" customHeight="1">
      <c r="C44" s="1694" t="s">
        <v>2201</v>
      </c>
      <c r="D44" s="1694"/>
      <c r="E44" s="1694"/>
      <c r="F44" s="1694"/>
      <c r="G44" s="1694"/>
      <c r="H44" s="1694"/>
      <c r="I44" s="1694"/>
      <c r="J44" s="1694"/>
      <c r="K44" s="1694"/>
      <c r="L44" s="1694"/>
      <c r="M44" s="1694"/>
      <c r="N44" s="1694"/>
      <c r="O44" s="1694"/>
      <c r="P44" s="1694"/>
      <c r="Q44" s="1694"/>
    </row>
    <row r="45" spans="2:24" ht="6" customHeight="1">
      <c r="C45" s="202"/>
      <c r="D45" s="202"/>
      <c r="E45" s="202"/>
      <c r="F45" s="202"/>
      <c r="G45" s="202"/>
      <c r="H45" s="202"/>
      <c r="I45" s="202"/>
      <c r="J45" s="202"/>
      <c r="K45" s="202"/>
      <c r="L45" s="202"/>
      <c r="N45" s="953"/>
      <c r="O45" s="202"/>
      <c r="P45" s="202"/>
      <c r="Q45" s="202"/>
    </row>
    <row r="46" spans="2:24" ht="27" customHeight="1" thickBot="1">
      <c r="C46" s="158">
        <v>1</v>
      </c>
      <c r="D46" s="1656" t="s">
        <v>2</v>
      </c>
      <c r="E46" s="1656"/>
      <c r="F46" s="1656"/>
      <c r="G46" s="1656"/>
      <c r="H46" s="1656"/>
      <c r="I46" s="1656"/>
      <c r="J46" s="1656"/>
      <c r="K46" s="1656"/>
      <c r="L46" s="1656"/>
      <c r="M46" s="1656"/>
      <c r="N46" s="1656"/>
      <c r="O46" s="1656"/>
      <c r="P46" s="1656"/>
      <c r="Q46" s="13"/>
      <c r="R46" s="2116" t="str">
        <f>IF(AND(Q46=TRUE,Q48=TRUE),"ERROR: ONLY SELECT ONE MINIMUM SET-ASIDE ELECTION, NOT BOTH","")</f>
        <v/>
      </c>
      <c r="S46" s="2116"/>
    </row>
    <row r="47" spans="2:24" ht="15" customHeight="1" thickTop="1">
      <c r="C47" s="202"/>
      <c r="D47" s="2221" t="s">
        <v>798</v>
      </c>
      <c r="E47" s="2222"/>
      <c r="F47" s="2222"/>
      <c r="G47" s="2222"/>
      <c r="H47" s="2222"/>
      <c r="I47" s="2222"/>
      <c r="J47" s="2222"/>
      <c r="K47" s="2222"/>
      <c r="L47" s="2222"/>
      <c r="M47" s="2222"/>
      <c r="N47" s="2222"/>
      <c r="O47" s="2222"/>
      <c r="P47" s="2222"/>
      <c r="Q47" s="202"/>
      <c r="R47" s="2116"/>
      <c r="S47" s="2116"/>
    </row>
    <row r="48" spans="2:24" ht="27" customHeight="1" thickBot="1">
      <c r="C48" s="158">
        <v>2</v>
      </c>
      <c r="D48" s="1656" t="s">
        <v>1</v>
      </c>
      <c r="E48" s="1656"/>
      <c r="F48" s="1656"/>
      <c r="G48" s="1656"/>
      <c r="H48" s="1656"/>
      <c r="I48" s="1656"/>
      <c r="J48" s="1656"/>
      <c r="K48" s="1656"/>
      <c r="L48" s="1656"/>
      <c r="M48" s="1656"/>
      <c r="N48" s="1656"/>
      <c r="O48" s="1656"/>
      <c r="P48" s="1656"/>
      <c r="Q48" s="13"/>
      <c r="R48" s="2116"/>
      <c r="S48" s="2116"/>
    </row>
    <row r="49" spans="1:17" ht="6" customHeight="1" thickTop="1">
      <c r="C49" s="202"/>
      <c r="D49" s="202"/>
      <c r="E49" s="202"/>
      <c r="F49" s="202"/>
      <c r="G49" s="202"/>
      <c r="H49" s="202"/>
      <c r="I49" s="202"/>
      <c r="J49" s="202"/>
      <c r="K49" s="202"/>
      <c r="L49" s="202"/>
      <c r="N49" s="953"/>
      <c r="O49" s="202"/>
      <c r="P49" s="202"/>
      <c r="Q49" s="202"/>
    </row>
    <row r="50" spans="1:17" ht="15" customHeight="1">
      <c r="A50" s="40"/>
      <c r="B50" s="85" t="s">
        <v>185</v>
      </c>
      <c r="C50" s="1694" t="s">
        <v>193</v>
      </c>
      <c r="D50" s="2220"/>
      <c r="E50" s="2220"/>
      <c r="F50" s="2220"/>
      <c r="G50" s="2220"/>
      <c r="H50" s="2220"/>
      <c r="I50" s="2220"/>
      <c r="J50" s="2220"/>
      <c r="K50" s="2220"/>
      <c r="L50" s="2220"/>
      <c r="M50" s="2220"/>
      <c r="N50" s="2220"/>
      <c r="O50" s="2220"/>
      <c r="P50" s="2220"/>
      <c r="Q50" s="2220"/>
    </row>
    <row r="51" spans="1:17" ht="12.95" customHeight="1">
      <c r="A51" s="40"/>
      <c r="B51" s="40"/>
      <c r="C51" s="40"/>
      <c r="D51" s="40"/>
      <c r="E51" s="40"/>
      <c r="F51" s="40"/>
      <c r="G51" s="40"/>
      <c r="H51" s="40"/>
      <c r="I51" s="40"/>
      <c r="J51" s="202"/>
      <c r="K51" s="202"/>
      <c r="L51" s="202"/>
      <c r="N51" s="953"/>
      <c r="O51" s="202"/>
      <c r="P51" s="202"/>
      <c r="Q51" s="202"/>
    </row>
    <row r="52" spans="1:17" ht="39" customHeight="1" thickBot="1">
      <c r="A52" s="40"/>
      <c r="B52" s="40"/>
      <c r="C52" s="1752" t="s">
        <v>2235</v>
      </c>
      <c r="D52" s="1752"/>
      <c r="E52" s="1752"/>
      <c r="F52" s="1752"/>
      <c r="G52" s="1752"/>
      <c r="H52" s="1752"/>
      <c r="I52" s="1752"/>
      <c r="J52" s="1752"/>
      <c r="K52" s="1752"/>
      <c r="L52" s="1752"/>
      <c r="M52" s="1752"/>
      <c r="N52" s="1752"/>
      <c r="O52" s="1752"/>
      <c r="P52" s="1752"/>
      <c r="Q52" s="13"/>
    </row>
    <row r="53" spans="1:17" ht="6" customHeight="1" thickTop="1"/>
    <row r="54" spans="1:17" ht="15" customHeight="1">
      <c r="C54" s="1736" t="s">
        <v>2225</v>
      </c>
      <c r="D54" s="1736"/>
      <c r="E54" s="1736"/>
      <c r="F54" s="1736"/>
      <c r="G54" s="1736"/>
      <c r="H54" s="1736"/>
      <c r="I54" s="1736"/>
      <c r="J54" s="1736"/>
      <c r="K54" s="1736"/>
      <c r="L54" s="1736"/>
      <c r="M54" s="1736"/>
      <c r="N54" s="1736"/>
      <c r="O54" s="1736"/>
      <c r="P54" s="1736"/>
      <c r="Q54" s="1736"/>
    </row>
    <row r="55" spans="1:17" ht="15" customHeight="1"/>
    <row r="61" spans="1:17">
      <c r="A61" s="1222"/>
      <c r="B61" s="1226"/>
      <c r="C61" s="1222"/>
      <c r="D61" s="1222"/>
      <c r="E61" s="1222"/>
      <c r="F61" s="1222"/>
      <c r="G61" s="1222"/>
      <c r="H61" s="1222"/>
      <c r="I61" s="1222"/>
      <c r="J61" s="1222"/>
      <c r="K61" s="1222"/>
      <c r="L61" s="1222"/>
      <c r="M61" s="1220"/>
      <c r="N61" s="1222"/>
      <c r="O61" s="1222"/>
      <c r="P61" s="1222"/>
      <c r="Q61" s="1222"/>
    </row>
  </sheetData>
  <sheetProtection algorithmName="SHA-512" hashValue="NbzMxQ05NinlVaOS9OeSNqN7b3MRVV6g3kCRyNY+v+dnEQEVsg+mEf1300M5ycMMgbTbn9/fFmEfD1+wmVJAQw==" saltValue="PHzwo78f1pn7EId0PvMZ5g==" spinCount="100000" sheet="1" objects="1" scenarios="1"/>
  <mergeCells count="31">
    <mergeCell ref="D26:L26"/>
    <mergeCell ref="D21:L21"/>
    <mergeCell ref="D22:L22"/>
    <mergeCell ref="D32:P32"/>
    <mergeCell ref="C42:Q42"/>
    <mergeCell ref="C44:Q44"/>
    <mergeCell ref="C34:Q34"/>
    <mergeCell ref="D30:Q30"/>
    <mergeCell ref="D28:P28"/>
    <mergeCell ref="D36:P36"/>
    <mergeCell ref="D38:P38"/>
    <mergeCell ref="D40:P40"/>
    <mergeCell ref="C54:Q54"/>
    <mergeCell ref="C52:P52"/>
    <mergeCell ref="C50:Q50"/>
    <mergeCell ref="D47:P47"/>
    <mergeCell ref="R46:S48"/>
    <mergeCell ref="D46:P46"/>
    <mergeCell ref="D48:P48"/>
    <mergeCell ref="C3:P3"/>
    <mergeCell ref="C15:Q15"/>
    <mergeCell ref="D19:Q19"/>
    <mergeCell ref="D24:L24"/>
    <mergeCell ref="D25:L25"/>
    <mergeCell ref="D5:P5"/>
    <mergeCell ref="D7:P7"/>
    <mergeCell ref="D9:P9"/>
    <mergeCell ref="D11:P11"/>
    <mergeCell ref="D13:Q13"/>
    <mergeCell ref="D23:L23"/>
    <mergeCell ref="D17:P17"/>
  </mergeCells>
  <phoneticPr fontId="0" type="noConversion"/>
  <dataValidations count="3">
    <dataValidation type="list" allowBlank="1" showInputMessage="1" showErrorMessage="1" sqref="Q38 Q11 Q9 Q7 Q40 Q28 Q32" xr:uid="{00000000-0002-0000-2700-000000000000}">
      <formula1>$W$1:$W$3</formula1>
    </dataValidation>
    <dataValidation type="list" allowBlank="1" showInputMessage="1" showErrorMessage="1" sqref="Q17 Q5 Q52 Q48 Q36 Q46 N22:N26 P22:P26" xr:uid="{00000000-0002-0000-2700-000001000000}">
      <formula1>$V$1:$V$2</formula1>
    </dataValidation>
    <dataValidation type="list" allowBlank="1" showInputMessage="1" showErrorMessage="1" sqref="O22:O26" xr:uid="{00000000-0002-0000-2700-000002000000}">
      <formula1>$U$1:$U$2</formula1>
    </dataValidation>
  </dataValidations>
  <pageMargins left="0.75" right="0.5" top="0.5" bottom="0.75" header="0" footer="0.5"/>
  <pageSetup scale="80" firstPageNumber="21" orientation="portrait" verticalDpi="300" r:id="rId1"/>
  <headerFooter alignWithMargins="0">
    <oddFooter>&amp;C&amp;A&amp;R&amp;D &amp;T</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2">
    <pageSetUpPr fitToPage="1"/>
  </sheetPr>
  <dimension ref="A1:L61"/>
  <sheetViews>
    <sheetView zoomScaleNormal="100" workbookViewId="0"/>
  </sheetViews>
  <sheetFormatPr defaultRowHeight="12.75"/>
  <cols>
    <col min="1" max="1" width="5.140625" customWidth="1"/>
    <col min="2" max="2" width="23.5703125" customWidth="1"/>
    <col min="3" max="3" width="14" customWidth="1"/>
    <col min="4" max="9" width="13.5703125" customWidth="1"/>
    <col min="11" max="11" width="14" customWidth="1"/>
  </cols>
  <sheetData>
    <row r="1" spans="1:12" ht="12.75" customHeight="1">
      <c r="A1" s="1302" t="str">
        <f>IF('FORM 1040-1'!D15="","",'FORM 1040-1'!D15)</f>
        <v/>
      </c>
      <c r="B1" s="1303"/>
      <c r="C1" s="1303"/>
      <c r="D1" s="1303"/>
      <c r="E1" s="1303"/>
      <c r="F1" s="1303"/>
      <c r="G1" s="1303"/>
      <c r="H1" s="1303"/>
      <c r="I1" s="1294" t="str">
        <f>IF('FORM 1040-1'!$E$12="","",'FORM 1040-1'!$E$12)</f>
        <v/>
      </c>
      <c r="J1" s="2072" t="s">
        <v>1621</v>
      </c>
      <c r="K1" s="2072"/>
      <c r="L1" s="2072"/>
    </row>
    <row r="2" spans="1:12">
      <c r="A2" s="126"/>
      <c r="B2" s="1015"/>
      <c r="C2" s="1015"/>
      <c r="D2" s="1015"/>
      <c r="E2" s="1015"/>
      <c r="F2" s="1015"/>
      <c r="G2" s="1015"/>
      <c r="H2" s="1015"/>
      <c r="I2" s="1015"/>
      <c r="J2" s="2072"/>
      <c r="K2" s="2072"/>
      <c r="L2" s="2072"/>
    </row>
    <row r="3" spans="1:12">
      <c r="A3" s="1016" t="s">
        <v>916</v>
      </c>
      <c r="B3" s="1603" t="s">
        <v>2124</v>
      </c>
      <c r="C3" s="1603"/>
      <c r="D3" s="1603"/>
      <c r="E3" s="1603"/>
      <c r="F3" s="1603"/>
      <c r="G3" s="1603"/>
      <c r="H3" s="1603"/>
      <c r="I3" s="1603"/>
      <c r="J3" s="2072"/>
      <c r="K3" s="2072"/>
      <c r="L3" s="2072"/>
    </row>
    <row r="4" spans="1:12" ht="13.5" thickBot="1">
      <c r="A4" s="126"/>
      <c r="B4" s="1015"/>
      <c r="C4" s="1015"/>
      <c r="D4" s="1015"/>
      <c r="E4" s="1015"/>
      <c r="F4" s="1015"/>
      <c r="G4" s="1015"/>
      <c r="H4" s="1015"/>
      <c r="I4" s="1015"/>
      <c r="J4" s="2072"/>
      <c r="K4" s="2072"/>
      <c r="L4" s="2072"/>
    </row>
    <row r="5" spans="1:12" ht="14.25" thickTop="1" thickBot="1">
      <c r="A5" s="129"/>
      <c r="B5" s="2228" t="s">
        <v>98</v>
      </c>
      <c r="C5" s="46" t="s">
        <v>100</v>
      </c>
      <c r="D5" s="1780" t="s">
        <v>2110</v>
      </c>
      <c r="E5" s="1843"/>
      <c r="F5" s="1843"/>
      <c r="G5" s="1843"/>
      <c r="H5" s="1843"/>
      <c r="I5" s="1781"/>
      <c r="K5" s="2223" t="s">
        <v>2663</v>
      </c>
    </row>
    <row r="6" spans="1:12" ht="13.5" thickTop="1">
      <c r="A6" s="126"/>
      <c r="B6" s="2229"/>
      <c r="C6" s="110" t="s">
        <v>356</v>
      </c>
      <c r="D6" s="1582" t="s">
        <v>2856</v>
      </c>
      <c r="E6" s="1568" t="s">
        <v>1592</v>
      </c>
      <c r="F6" s="1568" t="s">
        <v>2118</v>
      </c>
      <c r="G6" s="1568" t="s">
        <v>2119</v>
      </c>
      <c r="H6" s="1568" t="s">
        <v>2120</v>
      </c>
      <c r="I6" s="1568" t="s">
        <v>2122</v>
      </c>
      <c r="K6" s="2224"/>
    </row>
    <row r="7" spans="1:12" ht="13.5" thickBot="1">
      <c r="A7" s="126"/>
      <c r="B7" s="2229"/>
      <c r="C7" s="51" t="s">
        <v>563</v>
      </c>
      <c r="D7" s="1569" t="s">
        <v>742</v>
      </c>
      <c r="E7" s="1583" t="s">
        <v>2250</v>
      </c>
      <c r="F7" s="1569" t="s">
        <v>2251</v>
      </c>
      <c r="G7" s="1569" t="s">
        <v>2252</v>
      </c>
      <c r="H7" s="1569" t="s">
        <v>2121</v>
      </c>
      <c r="I7" s="1569" t="s">
        <v>647</v>
      </c>
      <c r="K7" s="2224"/>
    </row>
    <row r="8" spans="1:12" ht="14.25" thickTop="1" thickBot="1">
      <c r="A8" s="126"/>
      <c r="B8" s="2230"/>
      <c r="C8" s="1569" t="s">
        <v>2125</v>
      </c>
      <c r="D8" s="1584">
        <f>'FORM 1040-8'!R12+'FORM 1040-8'!R13+'FORM 1040-8'!R14+'FORM 1040-8'!R15+'FORM 1040-8'!R24+'FORM 1040-8'!R16+'FORM 1040-8'!R17</f>
        <v>0</v>
      </c>
      <c r="E8" s="1584">
        <f>+'FORM 1040-8'!R18</f>
        <v>0</v>
      </c>
      <c r="F8" s="1584">
        <f>+'FORM 1040-8'!R19+'FORM 1040-8'!R20</f>
        <v>0</v>
      </c>
      <c r="G8" s="1584">
        <f>+'FORM 1040-8'!R21+'FORM 1040-8'!R22</f>
        <v>0</v>
      </c>
      <c r="H8" s="1584">
        <f>+'FORM 1040-8'!R23</f>
        <v>0</v>
      </c>
      <c r="I8" s="1584">
        <f>+'FORM 1040-8'!R25+'FORM 1040-8'!R26+'FORM 1040-8'!R27+'FORM 1040-8'!R28</f>
        <v>0</v>
      </c>
      <c r="K8" s="2225"/>
    </row>
    <row r="9" spans="1:12" ht="15" customHeight="1" thickTop="1" thickBot="1">
      <c r="A9" s="132"/>
      <c r="B9" s="133" t="s">
        <v>360</v>
      </c>
      <c r="C9" s="149">
        <f>'FORM 1040-3'!D11</f>
        <v>0</v>
      </c>
      <c r="D9" s="1505"/>
      <c r="E9" s="1505"/>
      <c r="F9" s="1505"/>
      <c r="G9" s="1505"/>
      <c r="H9" s="1505"/>
      <c r="I9" s="1505"/>
      <c r="K9" s="1067">
        <f t="shared" ref="K9:K40" si="0">+C9-D9-E9-F9-G9-H9-I9</f>
        <v>0</v>
      </c>
    </row>
    <row r="10" spans="1:12" ht="15" customHeight="1" thickTop="1" thickBot="1">
      <c r="A10" s="158"/>
      <c r="B10" s="133" t="s">
        <v>2331</v>
      </c>
      <c r="C10" s="149">
        <f>'FORM 1040-3'!D12</f>
        <v>0</v>
      </c>
      <c r="D10" s="1505"/>
      <c r="E10" s="1505"/>
      <c r="F10" s="1505"/>
      <c r="G10" s="1505"/>
      <c r="H10" s="1505"/>
      <c r="I10" s="1505"/>
      <c r="K10" s="1067">
        <f t="shared" si="0"/>
        <v>0</v>
      </c>
    </row>
    <row r="11" spans="1:12" ht="15" customHeight="1" thickTop="1" thickBot="1">
      <c r="A11" s="132"/>
      <c r="B11" s="133" t="s">
        <v>361</v>
      </c>
      <c r="C11" s="149">
        <f>'FORM 1040-3'!D13</f>
        <v>0</v>
      </c>
      <c r="D11" s="1505"/>
      <c r="E11" s="1505"/>
      <c r="F11" s="1505"/>
      <c r="G11" s="1505"/>
      <c r="H11" s="1505"/>
      <c r="I11" s="1505"/>
      <c r="K11" s="1067">
        <f t="shared" si="0"/>
        <v>0</v>
      </c>
    </row>
    <row r="12" spans="1:12" ht="15" customHeight="1" thickTop="1" thickBot="1">
      <c r="A12" s="132"/>
      <c r="B12" s="137" t="s">
        <v>1483</v>
      </c>
      <c r="C12" s="149">
        <f>'FORM 1040-3'!D14</f>
        <v>0</v>
      </c>
      <c r="D12" s="1505"/>
      <c r="E12" s="1505"/>
      <c r="F12" s="1505"/>
      <c r="G12" s="1505"/>
      <c r="H12" s="1505"/>
      <c r="I12" s="1505"/>
      <c r="K12" s="1067">
        <f t="shared" si="0"/>
        <v>0</v>
      </c>
    </row>
    <row r="13" spans="1:12" ht="15" customHeight="1" thickTop="1" thickBot="1">
      <c r="A13" s="132"/>
      <c r="B13" s="133" t="s">
        <v>362</v>
      </c>
      <c r="C13" s="149">
        <f>'FORM 1040-3'!D15</f>
        <v>0</v>
      </c>
      <c r="D13" s="1505"/>
      <c r="E13" s="1505"/>
      <c r="F13" s="1505"/>
      <c r="G13" s="1505"/>
      <c r="H13" s="1505"/>
      <c r="I13" s="1505"/>
      <c r="K13" s="1067">
        <f t="shared" si="0"/>
        <v>0</v>
      </c>
    </row>
    <row r="14" spans="1:12" ht="15" customHeight="1" thickTop="1" thickBot="1">
      <c r="A14" s="132"/>
      <c r="B14" s="133" t="s">
        <v>363</v>
      </c>
      <c r="C14" s="149">
        <f>'FORM 1040-3'!D16</f>
        <v>0</v>
      </c>
      <c r="D14" s="1505"/>
      <c r="E14" s="1505"/>
      <c r="F14" s="1505"/>
      <c r="G14" s="1505"/>
      <c r="H14" s="1505"/>
      <c r="I14" s="1505"/>
      <c r="K14" s="1067">
        <f t="shared" si="0"/>
        <v>0</v>
      </c>
    </row>
    <row r="15" spans="1:12" ht="15" customHeight="1" thickTop="1" thickBot="1">
      <c r="A15" s="158"/>
      <c r="B15" s="1585" t="s">
        <v>2332</v>
      </c>
      <c r="C15" s="149">
        <f>+'FORM 1040-3'!D17+'FORM 1040-3'!D18-C16</f>
        <v>0</v>
      </c>
      <c r="D15" s="1505"/>
      <c r="E15" s="1505"/>
      <c r="F15" s="1505"/>
      <c r="G15" s="1505"/>
      <c r="H15" s="1505"/>
      <c r="I15" s="1505"/>
      <c r="K15" s="1067">
        <f t="shared" si="0"/>
        <v>0</v>
      </c>
    </row>
    <row r="16" spans="1:12" ht="15" customHeight="1" thickTop="1" thickBot="1">
      <c r="A16" s="158"/>
      <c r="B16" s="1586" t="s">
        <v>2123</v>
      </c>
      <c r="C16" s="1214">
        <f>'FORM 1040-27'!P31</f>
        <v>0</v>
      </c>
      <c r="D16" s="1505"/>
      <c r="E16" s="1505"/>
      <c r="F16" s="1505"/>
      <c r="G16" s="1505"/>
      <c r="H16" s="1505"/>
      <c r="I16" s="1505"/>
      <c r="K16" s="1067">
        <f t="shared" si="0"/>
        <v>0</v>
      </c>
    </row>
    <row r="17" spans="1:11" ht="15" customHeight="1" thickTop="1" thickBot="1">
      <c r="A17" s="132"/>
      <c r="B17" s="133" t="s">
        <v>562</v>
      </c>
      <c r="C17" s="149">
        <f>'FORM 1040-3'!D19</f>
        <v>0</v>
      </c>
      <c r="D17" s="1505"/>
      <c r="E17" s="1505"/>
      <c r="F17" s="1505"/>
      <c r="G17" s="1505"/>
      <c r="H17" s="1505"/>
      <c r="I17" s="1505"/>
      <c r="K17" s="1067">
        <f t="shared" si="0"/>
        <v>0</v>
      </c>
    </row>
    <row r="18" spans="1:11" ht="15" customHeight="1" thickTop="1" thickBot="1">
      <c r="A18" s="132"/>
      <c r="B18" s="133" t="s">
        <v>2126</v>
      </c>
      <c r="C18" s="149">
        <f>'FORM 1040-3'!D20</f>
        <v>0</v>
      </c>
      <c r="D18" s="1505"/>
      <c r="E18" s="1505"/>
      <c r="F18" s="1505"/>
      <c r="G18" s="1505"/>
      <c r="H18" s="1505"/>
      <c r="I18" s="1505"/>
      <c r="K18" s="1067">
        <f t="shared" si="0"/>
        <v>0</v>
      </c>
    </row>
    <row r="19" spans="1:11" ht="15" customHeight="1" thickTop="1" thickBot="1">
      <c r="A19" s="132"/>
      <c r="B19" s="133" t="s">
        <v>2101</v>
      </c>
      <c r="C19" s="149">
        <f>'FORM 1040-3'!D21</f>
        <v>0</v>
      </c>
      <c r="D19" s="1505"/>
      <c r="E19" s="1505"/>
      <c r="F19" s="1505"/>
      <c r="G19" s="1505"/>
      <c r="H19" s="1505"/>
      <c r="I19" s="1505"/>
      <c r="K19" s="1067">
        <f t="shared" si="0"/>
        <v>0</v>
      </c>
    </row>
    <row r="20" spans="1:11" ht="15" customHeight="1" thickTop="1" thickBot="1">
      <c r="A20" s="132"/>
      <c r="B20" s="133" t="s">
        <v>2102</v>
      </c>
      <c r="C20" s="149">
        <f>'FORM 1040-3'!D22</f>
        <v>0</v>
      </c>
      <c r="D20" s="1505"/>
      <c r="E20" s="1505"/>
      <c r="F20" s="1505"/>
      <c r="G20" s="1505"/>
      <c r="H20" s="1505"/>
      <c r="I20" s="1505"/>
      <c r="K20" s="1067">
        <f t="shared" si="0"/>
        <v>0</v>
      </c>
    </row>
    <row r="21" spans="1:11" ht="15" customHeight="1" thickTop="1" thickBot="1">
      <c r="A21" s="158"/>
      <c r="B21" s="1585" t="s">
        <v>2333</v>
      </c>
      <c r="C21" s="149">
        <f>'FORM 1040-3'!D23</f>
        <v>0</v>
      </c>
      <c r="D21" s="1505"/>
      <c r="E21" s="1505"/>
      <c r="F21" s="1505"/>
      <c r="G21" s="1505"/>
      <c r="H21" s="1505"/>
      <c r="I21" s="1505"/>
      <c r="K21" s="1067">
        <f t="shared" si="0"/>
        <v>0</v>
      </c>
    </row>
    <row r="22" spans="1:11" ht="15" customHeight="1" thickTop="1" thickBot="1">
      <c r="A22" s="132"/>
      <c r="B22" s="141" t="s">
        <v>1476</v>
      </c>
      <c r="C22" s="149">
        <f>'FORM 1040-3'!D24</f>
        <v>0</v>
      </c>
      <c r="D22" s="1505"/>
      <c r="E22" s="1505"/>
      <c r="F22" s="1505"/>
      <c r="G22" s="1505"/>
      <c r="H22" s="1505"/>
      <c r="I22" s="1505"/>
      <c r="K22" s="1067">
        <f t="shared" si="0"/>
        <v>0</v>
      </c>
    </row>
    <row r="23" spans="1:11" ht="15" customHeight="1" thickTop="1" thickBot="1">
      <c r="A23" s="132"/>
      <c r="B23" s="141" t="s">
        <v>371</v>
      </c>
      <c r="C23" s="149">
        <f>'FORM 1040-3'!D25</f>
        <v>0</v>
      </c>
      <c r="D23" s="1505"/>
      <c r="E23" s="1505"/>
      <c r="F23" s="1505"/>
      <c r="G23" s="1505"/>
      <c r="H23" s="1505"/>
      <c r="I23" s="1505"/>
      <c r="K23" s="1067">
        <f t="shared" si="0"/>
        <v>0</v>
      </c>
    </row>
    <row r="24" spans="1:11" ht="15" customHeight="1" thickTop="1" thickBot="1">
      <c r="A24" s="132"/>
      <c r="B24" s="133" t="s">
        <v>372</v>
      </c>
      <c r="C24" s="149">
        <f>'FORM 1040-3'!D26</f>
        <v>0</v>
      </c>
      <c r="D24" s="1505"/>
      <c r="E24" s="1505"/>
      <c r="F24" s="1505"/>
      <c r="G24" s="1505"/>
      <c r="H24" s="1505"/>
      <c r="I24" s="1505"/>
      <c r="K24" s="1067">
        <f t="shared" si="0"/>
        <v>0</v>
      </c>
    </row>
    <row r="25" spans="1:11" ht="15" customHeight="1" thickTop="1" thickBot="1">
      <c r="A25" s="132"/>
      <c r="B25" s="133" t="s">
        <v>375</v>
      </c>
      <c r="C25" s="149">
        <f>'FORM 1040-3'!D27</f>
        <v>0</v>
      </c>
      <c r="D25" s="1505"/>
      <c r="E25" s="1505"/>
      <c r="F25" s="1505"/>
      <c r="G25" s="1505"/>
      <c r="H25" s="1505"/>
      <c r="I25" s="1505"/>
      <c r="K25" s="1067">
        <f t="shared" si="0"/>
        <v>0</v>
      </c>
    </row>
    <row r="26" spans="1:11" ht="15" customHeight="1" thickTop="1" thickBot="1">
      <c r="A26" s="132"/>
      <c r="B26" s="133" t="s">
        <v>377</v>
      </c>
      <c r="C26" s="149">
        <f>'FORM 1040-3'!D28</f>
        <v>0</v>
      </c>
      <c r="D26" s="1505"/>
      <c r="E26" s="1505"/>
      <c r="F26" s="1505"/>
      <c r="G26" s="1505"/>
      <c r="H26" s="1505"/>
      <c r="I26" s="1505"/>
      <c r="K26" s="1067">
        <f t="shared" si="0"/>
        <v>0</v>
      </c>
    </row>
    <row r="27" spans="1:11" ht="15" customHeight="1" thickTop="1" thickBot="1">
      <c r="A27" s="132"/>
      <c r="B27" s="137" t="s">
        <v>577</v>
      </c>
      <c r="C27" s="149">
        <f>'FORM 1040-3'!D29</f>
        <v>0</v>
      </c>
      <c r="D27" s="1505"/>
      <c r="E27" s="1505"/>
      <c r="F27" s="1505"/>
      <c r="G27" s="1505"/>
      <c r="H27" s="1505"/>
      <c r="I27" s="1505"/>
      <c r="K27" s="1067">
        <f t="shared" si="0"/>
        <v>0</v>
      </c>
    </row>
    <row r="28" spans="1:11" ht="15" customHeight="1" thickTop="1" thickBot="1">
      <c r="A28" s="132"/>
      <c r="B28" s="141" t="s">
        <v>380</v>
      </c>
      <c r="C28" s="149">
        <f>'FORM 1040-3'!D30</f>
        <v>0</v>
      </c>
      <c r="D28" s="1505"/>
      <c r="E28" s="1505"/>
      <c r="F28" s="1505"/>
      <c r="G28" s="1505"/>
      <c r="H28" s="1505"/>
      <c r="I28" s="1505"/>
      <c r="K28" s="1067">
        <f t="shared" si="0"/>
        <v>0</v>
      </c>
    </row>
    <row r="29" spans="1:11" ht="15" customHeight="1" thickTop="1" thickBot="1">
      <c r="A29" s="132"/>
      <c r="B29" s="133" t="s">
        <v>2334</v>
      </c>
      <c r="C29" s="149">
        <f>'FORM 1040-3'!D31</f>
        <v>0</v>
      </c>
      <c r="D29" s="1505"/>
      <c r="E29" s="1505"/>
      <c r="F29" s="1505"/>
      <c r="G29" s="1505"/>
      <c r="H29" s="1505"/>
      <c r="I29" s="1505"/>
      <c r="K29" s="1067">
        <f t="shared" si="0"/>
        <v>0</v>
      </c>
    </row>
    <row r="30" spans="1:11" ht="15" customHeight="1" thickTop="1" thickBot="1">
      <c r="A30" s="132"/>
      <c r="B30" s="133" t="s">
        <v>383</v>
      </c>
      <c r="C30" s="149">
        <f>'FORM 1040-3'!D32</f>
        <v>0</v>
      </c>
      <c r="D30" s="1505"/>
      <c r="E30" s="1505"/>
      <c r="F30" s="1505"/>
      <c r="G30" s="1505"/>
      <c r="H30" s="1505"/>
      <c r="I30" s="1505"/>
      <c r="K30" s="1067">
        <f t="shared" si="0"/>
        <v>0</v>
      </c>
    </row>
    <row r="31" spans="1:11" ht="15" customHeight="1" thickTop="1" thickBot="1">
      <c r="A31" s="132"/>
      <c r="B31" s="133" t="s">
        <v>2730</v>
      </c>
      <c r="C31" s="149">
        <f>'FORM 1040-3'!D33</f>
        <v>0</v>
      </c>
      <c r="D31" s="1505"/>
      <c r="E31" s="1505"/>
      <c r="F31" s="1505"/>
      <c r="G31" s="1505"/>
      <c r="H31" s="1505"/>
      <c r="I31" s="1505"/>
      <c r="K31" s="1067">
        <f t="shared" si="0"/>
        <v>0</v>
      </c>
    </row>
    <row r="32" spans="1:11" ht="15" customHeight="1" thickTop="1" thickBot="1">
      <c r="A32" s="132"/>
      <c r="B32" s="133" t="s">
        <v>2127</v>
      </c>
      <c r="C32" s="149">
        <f>'FORM 1040-3'!D34</f>
        <v>0</v>
      </c>
      <c r="D32" s="1505"/>
      <c r="E32" s="1505"/>
      <c r="F32" s="1505"/>
      <c r="G32" s="1505"/>
      <c r="H32" s="1505"/>
      <c r="I32" s="1505"/>
      <c r="K32" s="1067">
        <f t="shared" si="0"/>
        <v>0</v>
      </c>
    </row>
    <row r="33" spans="1:11" ht="15" customHeight="1" thickTop="1" thickBot="1">
      <c r="A33" s="132"/>
      <c r="B33" s="141" t="s">
        <v>385</v>
      </c>
      <c r="C33" s="149">
        <f>'FORM 1040-3'!D35</f>
        <v>0</v>
      </c>
      <c r="D33" s="1505"/>
      <c r="E33" s="1505"/>
      <c r="F33" s="1505"/>
      <c r="G33" s="1505"/>
      <c r="H33" s="1505"/>
      <c r="I33" s="1505"/>
      <c r="K33" s="1067">
        <f t="shared" si="0"/>
        <v>0</v>
      </c>
    </row>
    <row r="34" spans="1:11" ht="15" customHeight="1" thickTop="1" thickBot="1">
      <c r="A34" s="132"/>
      <c r="B34" s="133" t="s">
        <v>386</v>
      </c>
      <c r="C34" s="149">
        <f>'FORM 1040-3'!D36</f>
        <v>0</v>
      </c>
      <c r="D34" s="1505"/>
      <c r="E34" s="1505"/>
      <c r="F34" s="1505"/>
      <c r="G34" s="1505"/>
      <c r="H34" s="1505"/>
      <c r="I34" s="1505"/>
      <c r="K34" s="1067">
        <f t="shared" si="0"/>
        <v>0</v>
      </c>
    </row>
    <row r="35" spans="1:11" ht="15" customHeight="1" thickTop="1" thickBot="1">
      <c r="A35" s="132"/>
      <c r="B35" s="141" t="s">
        <v>387</v>
      </c>
      <c r="C35" s="149">
        <f>'FORM 1040-3'!D37</f>
        <v>0</v>
      </c>
      <c r="D35" s="1505"/>
      <c r="E35" s="1505"/>
      <c r="F35" s="1505"/>
      <c r="G35" s="1505"/>
      <c r="H35" s="1505"/>
      <c r="I35" s="1505"/>
      <c r="K35" s="1067">
        <f t="shared" si="0"/>
        <v>0</v>
      </c>
    </row>
    <row r="36" spans="1:11" ht="15" customHeight="1" thickTop="1" thickBot="1">
      <c r="A36" s="132"/>
      <c r="B36" s="133" t="s">
        <v>388</v>
      </c>
      <c r="C36" s="149">
        <f>'FORM 1040-3'!D38</f>
        <v>0</v>
      </c>
      <c r="D36" s="1505"/>
      <c r="E36" s="1505"/>
      <c r="F36" s="1505"/>
      <c r="G36" s="1505"/>
      <c r="H36" s="1505"/>
      <c r="I36" s="1505"/>
      <c r="K36" s="1067">
        <f t="shared" si="0"/>
        <v>0</v>
      </c>
    </row>
    <row r="37" spans="1:11" ht="15" customHeight="1" thickTop="1" thickBot="1">
      <c r="A37" s="132"/>
      <c r="B37" s="133" t="s">
        <v>2103</v>
      </c>
      <c r="C37" s="149">
        <f>'FORM 1040-3'!D39</f>
        <v>0</v>
      </c>
      <c r="D37" s="1505"/>
      <c r="E37" s="1505"/>
      <c r="F37" s="1505"/>
      <c r="G37" s="1505"/>
      <c r="H37" s="1505"/>
      <c r="I37" s="1505"/>
      <c r="K37" s="1067">
        <f t="shared" si="0"/>
        <v>0</v>
      </c>
    </row>
    <row r="38" spans="1:11" ht="15" customHeight="1" thickTop="1" thickBot="1">
      <c r="A38" s="132"/>
      <c r="B38" s="133" t="s">
        <v>392</v>
      </c>
      <c r="C38" s="149">
        <f>'FORM 1040-3'!D40</f>
        <v>0</v>
      </c>
      <c r="D38" s="1505"/>
      <c r="E38" s="1505"/>
      <c r="F38" s="1505"/>
      <c r="G38" s="1505"/>
      <c r="H38" s="1505"/>
      <c r="I38" s="1505"/>
      <c r="K38" s="1067">
        <f t="shared" si="0"/>
        <v>0</v>
      </c>
    </row>
    <row r="39" spans="1:11" ht="15" customHeight="1" thickTop="1" thickBot="1">
      <c r="A39" s="132"/>
      <c r="B39" s="133" t="s">
        <v>373</v>
      </c>
      <c r="C39" s="149">
        <f>'FORM 1040-4'!D12</f>
        <v>0</v>
      </c>
      <c r="D39" s="1505"/>
      <c r="E39" s="1505"/>
      <c r="F39" s="1505"/>
      <c r="G39" s="1505"/>
      <c r="H39" s="1505"/>
      <c r="I39" s="1505"/>
      <c r="K39" s="1067">
        <f t="shared" si="0"/>
        <v>0</v>
      </c>
    </row>
    <row r="40" spans="1:11" ht="15" customHeight="1" thickTop="1" thickBot="1">
      <c r="A40" s="132"/>
      <c r="B40" s="141" t="s">
        <v>374</v>
      </c>
      <c r="C40" s="149">
        <f>'FORM 1040-4'!D13</f>
        <v>0</v>
      </c>
      <c r="D40" s="1505"/>
      <c r="E40" s="1505"/>
      <c r="F40" s="1505"/>
      <c r="G40" s="1505"/>
      <c r="H40" s="1505"/>
      <c r="I40" s="1505"/>
      <c r="K40" s="1067">
        <f t="shared" si="0"/>
        <v>0</v>
      </c>
    </row>
    <row r="41" spans="1:11" ht="15" customHeight="1" thickTop="1" thickBot="1">
      <c r="A41" s="132"/>
      <c r="B41" s="133" t="s">
        <v>2128</v>
      </c>
      <c r="C41" s="149">
        <f>'FORM 1040-4'!D14</f>
        <v>0</v>
      </c>
      <c r="D41" s="1505"/>
      <c r="E41" s="1505"/>
      <c r="F41" s="1505"/>
      <c r="G41" s="1505"/>
      <c r="H41" s="1505"/>
      <c r="I41" s="1505"/>
      <c r="K41" s="1067">
        <f t="shared" ref="K41:K59" si="1">+C41-D41-E41-F41-G41-H41-I41</f>
        <v>0</v>
      </c>
    </row>
    <row r="42" spans="1:11" ht="15" customHeight="1" thickTop="1" thickBot="1">
      <c r="A42" s="132"/>
      <c r="B42" s="164" t="s">
        <v>378</v>
      </c>
      <c r="C42" s="149">
        <f>'FORM 1040-4'!D15</f>
        <v>0</v>
      </c>
      <c r="D42" s="1505"/>
      <c r="E42" s="1505"/>
      <c r="F42" s="1505"/>
      <c r="G42" s="1505"/>
      <c r="H42" s="1505"/>
      <c r="I42" s="1505"/>
      <c r="K42" s="1067">
        <f t="shared" si="1"/>
        <v>0</v>
      </c>
    </row>
    <row r="43" spans="1:11" ht="15" customHeight="1" thickTop="1" thickBot="1">
      <c r="A43" s="132"/>
      <c r="B43" s="137" t="s">
        <v>379</v>
      </c>
      <c r="C43" s="149">
        <f>'FORM 1040-4'!D16</f>
        <v>0</v>
      </c>
      <c r="D43" s="1505"/>
      <c r="E43" s="1505"/>
      <c r="F43" s="1505"/>
      <c r="G43" s="1505"/>
      <c r="H43" s="1505"/>
      <c r="I43" s="1505"/>
      <c r="K43" s="1067">
        <f t="shared" si="1"/>
        <v>0</v>
      </c>
    </row>
    <row r="44" spans="1:11" ht="15" customHeight="1" thickTop="1" thickBot="1">
      <c r="A44" s="158"/>
      <c r="B44" s="133" t="s">
        <v>2335</v>
      </c>
      <c r="C44" s="149">
        <f>'FORM 1040-4'!D17</f>
        <v>0</v>
      </c>
      <c r="D44" s="1505"/>
      <c r="E44" s="1505"/>
      <c r="F44" s="1505"/>
      <c r="G44" s="1505"/>
      <c r="H44" s="1505"/>
      <c r="I44" s="1505"/>
      <c r="K44" s="1067">
        <f t="shared" si="1"/>
        <v>0</v>
      </c>
    </row>
    <row r="45" spans="1:11" ht="15" customHeight="1" thickTop="1" thickBot="1">
      <c r="A45" s="132"/>
      <c r="B45" s="133" t="s">
        <v>389</v>
      </c>
      <c r="C45" s="149">
        <f>'FORM 1040-4'!D18</f>
        <v>0</v>
      </c>
      <c r="D45" s="1505"/>
      <c r="E45" s="1505"/>
      <c r="F45" s="1505"/>
      <c r="G45" s="1505"/>
      <c r="H45" s="1505"/>
      <c r="I45" s="1505"/>
      <c r="K45" s="1067">
        <f t="shared" si="1"/>
        <v>0</v>
      </c>
    </row>
    <row r="46" spans="1:11" ht="15" customHeight="1" thickTop="1" thickBot="1">
      <c r="A46" s="132"/>
      <c r="B46" s="141" t="s">
        <v>2112</v>
      </c>
      <c r="C46" s="149">
        <f>'FORM 1040-4'!D19</f>
        <v>0</v>
      </c>
      <c r="D46" s="1505"/>
      <c r="E46" s="1505"/>
      <c r="F46" s="1505"/>
      <c r="G46" s="1505"/>
      <c r="H46" s="1505"/>
      <c r="I46" s="1505"/>
      <c r="K46" s="1067">
        <f t="shared" si="1"/>
        <v>0</v>
      </c>
    </row>
    <row r="47" spans="1:11" ht="15" customHeight="1" thickTop="1" thickBot="1">
      <c r="A47" s="132"/>
      <c r="B47" s="133" t="s">
        <v>391</v>
      </c>
      <c r="C47" s="149">
        <f>'FORM 1040-4'!D20</f>
        <v>0</v>
      </c>
      <c r="D47" s="1505"/>
      <c r="E47" s="1505"/>
      <c r="F47" s="1505"/>
      <c r="G47" s="1505"/>
      <c r="H47" s="1505"/>
      <c r="I47" s="1505"/>
      <c r="K47" s="1067">
        <f t="shared" si="1"/>
        <v>0</v>
      </c>
    </row>
    <row r="48" spans="1:11" ht="15" customHeight="1" thickTop="1" thickBot="1">
      <c r="A48" s="132"/>
      <c r="B48" s="133" t="s">
        <v>2111</v>
      </c>
      <c r="C48" s="149">
        <f>'FORM 1040-4'!D21</f>
        <v>0</v>
      </c>
      <c r="D48" s="1505"/>
      <c r="E48" s="1505"/>
      <c r="F48" s="1505"/>
      <c r="G48" s="1505"/>
      <c r="H48" s="1505"/>
      <c r="I48" s="1505"/>
      <c r="K48" s="1067">
        <f t="shared" si="1"/>
        <v>0</v>
      </c>
    </row>
    <row r="49" spans="1:11" ht="15" customHeight="1" thickTop="1" thickBot="1">
      <c r="A49" s="132"/>
      <c r="B49" s="560" t="s">
        <v>1514</v>
      </c>
      <c r="C49" s="149">
        <f>'FORM 1040-4'!D22</f>
        <v>0</v>
      </c>
      <c r="D49" s="1505"/>
      <c r="E49" s="1505"/>
      <c r="F49" s="1505"/>
      <c r="G49" s="1505"/>
      <c r="H49" s="1505"/>
      <c r="I49" s="1505"/>
      <c r="K49" s="1067">
        <f t="shared" si="1"/>
        <v>0</v>
      </c>
    </row>
    <row r="50" spans="1:11" ht="15" customHeight="1" thickTop="1" thickBot="1">
      <c r="A50" s="132"/>
      <c r="B50" s="1587" t="str">
        <f>IF('FORM 1040-4'!B23="","",'FORM 1040-4'!B23)</f>
        <v/>
      </c>
      <c r="C50" s="149">
        <f>'FORM 1040-4'!D23</f>
        <v>0</v>
      </c>
      <c r="D50" s="1505"/>
      <c r="E50" s="1505"/>
      <c r="F50" s="1505"/>
      <c r="G50" s="1505"/>
      <c r="H50" s="1505"/>
      <c r="I50" s="1505"/>
      <c r="K50" s="1067">
        <f t="shared" si="1"/>
        <v>0</v>
      </c>
    </row>
    <row r="51" spans="1:11" ht="15" customHeight="1" thickTop="1" thickBot="1">
      <c r="A51" s="132"/>
      <c r="B51" s="1587" t="str">
        <f>IF('FORM 1040-4'!B24="","",'FORM 1040-4'!B24)</f>
        <v/>
      </c>
      <c r="C51" s="149">
        <f>'FORM 1040-4'!D24</f>
        <v>0</v>
      </c>
      <c r="D51" s="1505"/>
      <c r="E51" s="1505"/>
      <c r="F51" s="1505"/>
      <c r="G51" s="1505"/>
      <c r="H51" s="1505"/>
      <c r="I51" s="1505"/>
      <c r="K51" s="1067">
        <f t="shared" si="1"/>
        <v>0</v>
      </c>
    </row>
    <row r="52" spans="1:11" ht="15" customHeight="1" thickTop="1" thickBot="1">
      <c r="A52" s="132"/>
      <c r="B52" s="1587" t="str">
        <f>IF('FORM 1040-4'!B25="","",'FORM 1040-4'!B25)</f>
        <v/>
      </c>
      <c r="C52" s="149">
        <f>'FORM 1040-4'!D25</f>
        <v>0</v>
      </c>
      <c r="D52" s="1505"/>
      <c r="E52" s="1505"/>
      <c r="F52" s="1505"/>
      <c r="G52" s="1505"/>
      <c r="H52" s="1505"/>
      <c r="I52" s="1505"/>
      <c r="K52" s="1067">
        <f t="shared" si="1"/>
        <v>0</v>
      </c>
    </row>
    <row r="53" spans="1:11" ht="15" customHeight="1" thickTop="1" thickBot="1">
      <c r="A53" s="132"/>
      <c r="B53" s="1587" t="str">
        <f>IF('FORM 1040-4'!B26="","",'FORM 1040-4'!B26)</f>
        <v/>
      </c>
      <c r="C53" s="149">
        <f>'FORM 1040-4'!D26</f>
        <v>0</v>
      </c>
      <c r="D53" s="1505"/>
      <c r="E53" s="1505"/>
      <c r="F53" s="1505"/>
      <c r="G53" s="1505"/>
      <c r="H53" s="1505"/>
      <c r="I53" s="1505"/>
      <c r="K53" s="1067">
        <f t="shared" si="1"/>
        <v>0</v>
      </c>
    </row>
    <row r="54" spans="1:11" ht="15" customHeight="1" thickTop="1" thickBot="1">
      <c r="A54" s="132"/>
      <c r="B54" s="1587" t="str">
        <f>IF('FORM 1040-4'!B27="","",'FORM 1040-4'!B27)</f>
        <v/>
      </c>
      <c r="C54" s="149">
        <f>'FORM 1040-4'!D27</f>
        <v>0</v>
      </c>
      <c r="D54" s="1505"/>
      <c r="E54" s="1505"/>
      <c r="F54" s="1505"/>
      <c r="G54" s="1505"/>
      <c r="H54" s="1505"/>
      <c r="I54" s="1505"/>
      <c r="K54" s="1067">
        <f t="shared" si="1"/>
        <v>0</v>
      </c>
    </row>
    <row r="55" spans="1:11" ht="15" customHeight="1" thickTop="1" thickBot="1">
      <c r="A55" s="132"/>
      <c r="B55" s="1587" t="str">
        <f>IF('FORM 1040-4'!B28="","",'FORM 1040-4'!B28)</f>
        <v/>
      </c>
      <c r="C55" s="149">
        <f>'FORM 1040-4'!D28</f>
        <v>0</v>
      </c>
      <c r="D55" s="1505"/>
      <c r="E55" s="1505"/>
      <c r="F55" s="1505"/>
      <c r="G55" s="1505"/>
      <c r="H55" s="1505"/>
      <c r="I55" s="1505"/>
      <c r="K55" s="1067">
        <f t="shared" si="1"/>
        <v>0</v>
      </c>
    </row>
    <row r="56" spans="1:11" ht="15" customHeight="1" thickTop="1" thickBot="1">
      <c r="A56" s="132"/>
      <c r="B56" s="1587" t="str">
        <f>IF('FORM 1040-4'!B29="","",'FORM 1040-4'!B29)</f>
        <v/>
      </c>
      <c r="C56" s="149">
        <f>'FORM 1040-4'!D29</f>
        <v>0</v>
      </c>
      <c r="D56" s="1505"/>
      <c r="E56" s="1505"/>
      <c r="F56" s="1505"/>
      <c r="G56" s="1505"/>
      <c r="H56" s="1505"/>
      <c r="I56" s="1505"/>
      <c r="K56" s="1067">
        <f t="shared" si="1"/>
        <v>0</v>
      </c>
    </row>
    <row r="57" spans="1:11" ht="15" customHeight="1" thickTop="1" thickBot="1">
      <c r="A57" s="132"/>
      <c r="B57" s="1587" t="str">
        <f>IF('FORM 1040-4'!B30="","",'FORM 1040-4'!B30)</f>
        <v/>
      </c>
      <c r="C57" s="149">
        <f>'FORM 1040-4'!D30</f>
        <v>0</v>
      </c>
      <c r="D57" s="1505"/>
      <c r="E57" s="1505"/>
      <c r="F57" s="1505"/>
      <c r="G57" s="1505"/>
      <c r="H57" s="1505"/>
      <c r="I57" s="1505"/>
      <c r="K57" s="1067">
        <f t="shared" si="1"/>
        <v>0</v>
      </c>
    </row>
    <row r="58" spans="1:11" ht="15" customHeight="1" thickTop="1" thickBot="1">
      <c r="A58" s="132"/>
      <c r="B58" s="1587" t="str">
        <f>IF('FORM 1040-4'!B31="","",'FORM 1040-4'!B31)</f>
        <v/>
      </c>
      <c r="C58" s="149">
        <f>'FORM 1040-4'!D31</f>
        <v>0</v>
      </c>
      <c r="D58" s="1505"/>
      <c r="E58" s="1505"/>
      <c r="F58" s="1505"/>
      <c r="G58" s="1505"/>
      <c r="H58" s="1505"/>
      <c r="I58" s="1505"/>
      <c r="K58" s="1069">
        <f t="shared" si="1"/>
        <v>0</v>
      </c>
    </row>
    <row r="59" spans="1:11" ht="14.25" thickTop="1" thickBot="1">
      <c r="A59" s="132"/>
      <c r="B59" s="133" t="s">
        <v>121</v>
      </c>
      <c r="C59" s="151">
        <f t="shared" ref="C59:I59" si="2">SUM(C9:C58)</f>
        <v>0</v>
      </c>
      <c r="D59" s="151">
        <f t="shared" si="2"/>
        <v>0</v>
      </c>
      <c r="E59" s="151">
        <f t="shared" si="2"/>
        <v>0</v>
      </c>
      <c r="F59" s="151">
        <f t="shared" si="2"/>
        <v>0</v>
      </c>
      <c r="G59" s="151">
        <f t="shared" si="2"/>
        <v>0</v>
      </c>
      <c r="H59" s="151">
        <f t="shared" si="2"/>
        <v>0</v>
      </c>
      <c r="I59" s="151">
        <f t="shared" si="2"/>
        <v>0</v>
      </c>
      <c r="K59" s="1068">
        <f t="shared" si="1"/>
        <v>0</v>
      </c>
    </row>
    <row r="60" spans="1:11" ht="14.25" thickTop="1" thickBot="1">
      <c r="A60" s="132"/>
      <c r="B60" s="2226" t="s">
        <v>2464</v>
      </c>
      <c r="C60" s="2227"/>
      <c r="D60" s="151">
        <f t="shared" ref="D60:I60" si="3">+D8-D59</f>
        <v>0</v>
      </c>
      <c r="E60" s="151">
        <f t="shared" si="3"/>
        <v>0</v>
      </c>
      <c r="F60" s="151">
        <f t="shared" si="3"/>
        <v>0</v>
      </c>
      <c r="G60" s="151">
        <f t="shared" si="3"/>
        <v>0</v>
      </c>
      <c r="H60" s="151">
        <f t="shared" si="3"/>
        <v>0</v>
      </c>
      <c r="I60" s="151">
        <f t="shared" si="3"/>
        <v>0</v>
      </c>
    </row>
    <row r="61" spans="1:11" ht="13.5" thickTop="1"/>
  </sheetData>
  <sheetProtection algorithmName="SHA-512" hashValue="YzIjtRugvPdedNH0VCnh9OFB/iWkgxP3YAQiv4wlBL4N6+yo0y5Kqbpgpa/A+dmxHlaQrv5/ZwFxKbhilyltag==" saltValue="LaNZmiYmedVE1c38Yo44kQ==" spinCount="100000" sheet="1" objects="1" scenarios="1"/>
  <mergeCells count="6">
    <mergeCell ref="J1:L4"/>
    <mergeCell ref="D5:I5"/>
    <mergeCell ref="K5:K8"/>
    <mergeCell ref="B60:C60"/>
    <mergeCell ref="B3:I3"/>
    <mergeCell ref="B5:B8"/>
  </mergeCells>
  <pageMargins left="0.6" right="0.25" top="0.75" bottom="0.6" header="0.3" footer="0.3"/>
  <pageSetup scale="80" orientation="portrait" r:id="rId1"/>
  <headerFooter>
    <oddFooter>&amp;C&amp;A&amp;R&amp;D &amp;T</odd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37">
    <pageSetUpPr fitToPage="1"/>
  </sheetPr>
  <dimension ref="A1:AC74"/>
  <sheetViews>
    <sheetView workbookViewId="0"/>
  </sheetViews>
  <sheetFormatPr defaultColWidth="9.7109375" defaultRowHeight="12.75"/>
  <cols>
    <col min="1" max="1" width="6.7109375" style="12" customWidth="1"/>
    <col min="2" max="3" width="2.7109375" style="202" customWidth="1"/>
    <col min="4" max="6" width="6.7109375" style="202" customWidth="1"/>
    <col min="7" max="7" width="8.7109375" style="202" customWidth="1"/>
    <col min="8" max="9" width="12.7109375" style="202" customWidth="1"/>
    <col min="10" max="10" width="13.7109375" style="1437" customWidth="1"/>
    <col min="11" max="11" width="20.7109375" style="202" customWidth="1"/>
    <col min="12" max="12" width="16.7109375" style="202" customWidth="1"/>
    <col min="13" max="13" width="10.7109375" style="4" customWidth="1"/>
    <col min="14" max="14" width="5.7109375" style="6" customWidth="1"/>
    <col min="15" max="15" width="6.7109375" style="12" hidden="1" customWidth="1"/>
    <col min="16" max="17" width="2.7109375" style="202" hidden="1" customWidth="1"/>
    <col min="18" max="19" width="6.7109375" style="202" hidden="1" customWidth="1"/>
    <col min="20" max="20" width="7.85546875" style="202" hidden="1" customWidth="1"/>
    <col min="21" max="21" width="6.7109375" style="202" hidden="1" customWidth="1"/>
    <col min="22" max="22" width="10.7109375" style="202" hidden="1" customWidth="1"/>
    <col min="23" max="23" width="12.7109375" style="202" hidden="1" customWidth="1"/>
    <col min="24" max="24" width="37.7109375" style="202" hidden="1" customWidth="1"/>
    <col min="25" max="25" width="12.7109375" style="202" hidden="1" customWidth="1"/>
    <col min="26" max="26" width="10.7109375" style="4" hidden="1" customWidth="1"/>
    <col min="27" max="28" width="9.7109375" style="4" hidden="1" customWidth="1"/>
    <col min="29" max="29" width="5.7109375" style="6" customWidth="1"/>
    <col min="30" max="16384" width="9.7109375" style="4"/>
  </cols>
  <sheetData>
    <row r="1" spans="1:29" s="814" customFormat="1">
      <c r="A1" s="1302" t="str">
        <f>IF('FORM 1040-1'!D15="","",'FORM 1040-1'!D15)</f>
        <v/>
      </c>
      <c r="B1" s="1306"/>
      <c r="C1" s="1306"/>
      <c r="D1" s="1306"/>
      <c r="E1" s="1306"/>
      <c r="F1" s="1306"/>
      <c r="G1" s="1306"/>
      <c r="H1" s="1306"/>
      <c r="I1" s="1306"/>
      <c r="J1" s="1306"/>
      <c r="K1" s="1306"/>
      <c r="L1" s="1294" t="str">
        <f>IF('FORM 1040-1'!$E$12="","",'FORM 1040-1'!$E$12)</f>
        <v/>
      </c>
      <c r="N1" s="6"/>
      <c r="O1" s="801"/>
      <c r="P1" s="802"/>
      <c r="Q1" s="802"/>
      <c r="R1" s="802"/>
      <c r="S1" s="802"/>
      <c r="T1" s="802"/>
      <c r="U1" s="802"/>
      <c r="V1" s="802"/>
      <c r="W1" s="802"/>
      <c r="X1" s="802"/>
      <c r="Y1" s="802"/>
      <c r="AC1" s="6"/>
    </row>
    <row r="2" spans="1:29" s="825" customFormat="1">
      <c r="A2" s="817"/>
      <c r="B2" s="205"/>
      <c r="C2" s="205"/>
      <c r="D2" s="205"/>
      <c r="E2" s="205"/>
      <c r="F2" s="205"/>
      <c r="G2" s="205"/>
      <c r="H2" s="205"/>
      <c r="I2" s="205"/>
      <c r="J2" s="205"/>
      <c r="K2" s="205"/>
      <c r="L2" s="205"/>
      <c r="N2" s="826"/>
      <c r="O2" s="817"/>
      <c r="P2" s="205"/>
      <c r="Q2" s="205"/>
      <c r="R2" s="205"/>
      <c r="S2" s="205"/>
      <c r="T2" s="205"/>
      <c r="U2" s="205"/>
      <c r="V2" s="205"/>
      <c r="W2" s="205"/>
      <c r="X2" s="205"/>
      <c r="Y2" s="205"/>
      <c r="AC2" s="826"/>
    </row>
    <row r="3" spans="1:29" ht="15" customHeight="1">
      <c r="A3" s="12" t="s">
        <v>919</v>
      </c>
      <c r="B3" s="1694" t="s">
        <v>2415</v>
      </c>
      <c r="C3" s="1694"/>
      <c r="D3" s="1694"/>
      <c r="E3" s="1694"/>
      <c r="F3" s="1694"/>
      <c r="G3" s="1694"/>
      <c r="H3" s="1694"/>
      <c r="I3" s="1694"/>
      <c r="J3" s="1694"/>
      <c r="K3" s="1694"/>
      <c r="L3" s="1694"/>
      <c r="O3" s="12" t="s">
        <v>919</v>
      </c>
      <c r="P3" s="1694" t="s">
        <v>270</v>
      </c>
      <c r="Q3" s="1694"/>
      <c r="R3" s="1694"/>
      <c r="S3" s="1694"/>
      <c r="T3" s="1694"/>
      <c r="U3" s="1694"/>
      <c r="V3" s="1694"/>
      <c r="W3" s="1694"/>
      <c r="X3" s="1694"/>
      <c r="Y3" s="1694"/>
      <c r="AA3" s="22" t="b">
        <v>1</v>
      </c>
      <c r="AB3" s="22" t="b">
        <v>1</v>
      </c>
    </row>
    <row r="4" spans="1:29" ht="12.75" customHeight="1">
      <c r="F4" s="21"/>
      <c r="T4" s="21"/>
      <c r="AA4" s="22" t="b">
        <v>0</v>
      </c>
      <c r="AB4" s="22" t="b">
        <v>0</v>
      </c>
    </row>
    <row r="5" spans="1:29" s="1440" customFormat="1" ht="12" customHeight="1">
      <c r="A5" s="1439"/>
      <c r="B5" s="1464" t="s">
        <v>53</v>
      </c>
      <c r="C5" s="1771" t="s">
        <v>2051</v>
      </c>
      <c r="D5" s="1771"/>
      <c r="E5" s="1771"/>
      <c r="F5" s="1771"/>
      <c r="G5" s="1771"/>
      <c r="H5" s="1771"/>
      <c r="I5" s="1771"/>
      <c r="J5" s="1771"/>
      <c r="K5" s="1771"/>
      <c r="L5" s="1771"/>
      <c r="N5" s="6"/>
      <c r="O5" s="1439"/>
      <c r="P5" s="1449" t="s">
        <v>56</v>
      </c>
      <c r="Q5" s="1771" t="s">
        <v>255</v>
      </c>
      <c r="R5" s="1771"/>
      <c r="S5" s="1771"/>
      <c r="T5" s="1771"/>
      <c r="U5" s="1771"/>
      <c r="V5" s="1771"/>
      <c r="W5" s="1771"/>
      <c r="X5" s="1771"/>
      <c r="Y5" s="1771"/>
      <c r="AC5" s="6"/>
    </row>
    <row r="6" spans="1:29" s="1440" customFormat="1" ht="15" customHeight="1" thickBot="1">
      <c r="A6" s="1439"/>
      <c r="B6" s="1454"/>
      <c r="C6" s="132">
        <v>1</v>
      </c>
      <c r="D6" s="1596" t="s">
        <v>920</v>
      </c>
      <c r="E6" s="1596"/>
      <c r="F6" s="2232" t="str">
        <f>IF('FORM 1040-1'!D32="","",('FORM 1040-1'!D32))</f>
        <v/>
      </c>
      <c r="G6" s="2232"/>
      <c r="H6" s="2232"/>
      <c r="I6" s="2232"/>
      <c r="J6" s="2232"/>
      <c r="K6" s="1488" t="s">
        <v>2711</v>
      </c>
      <c r="L6" s="1472"/>
      <c r="N6" s="6"/>
      <c r="O6" s="1439"/>
      <c r="Q6" s="132">
        <v>1</v>
      </c>
      <c r="R6" s="1596" t="s">
        <v>920</v>
      </c>
      <c r="S6" s="1596"/>
      <c r="T6" s="1617"/>
      <c r="U6" s="1617"/>
      <c r="V6" s="1617"/>
      <c r="W6" s="1617"/>
      <c r="X6" s="1617"/>
      <c r="Y6" s="1617"/>
      <c r="AC6" s="6"/>
    </row>
    <row r="7" spans="1:29" s="1440" customFormat="1" ht="15" customHeight="1" thickTop="1" thickBot="1">
      <c r="A7" s="1439"/>
      <c r="B7" s="1454"/>
      <c r="C7" s="132">
        <v>2</v>
      </c>
      <c r="D7" s="1593" t="s">
        <v>988</v>
      </c>
      <c r="E7" s="1593"/>
      <c r="F7" s="2143" t="str">
        <f>IF('FORM 1040-1'!D36="","",AA7)</f>
        <v/>
      </c>
      <c r="G7" s="2143"/>
      <c r="H7" s="2143"/>
      <c r="I7" s="2231" t="s">
        <v>2202</v>
      </c>
      <c r="J7" s="2231"/>
      <c r="K7" s="2231"/>
      <c r="L7" s="1441"/>
      <c r="N7" s="6"/>
      <c r="O7" s="1439"/>
      <c r="Q7" s="132">
        <v>2</v>
      </c>
      <c r="R7" s="1593" t="s">
        <v>988</v>
      </c>
      <c r="S7" s="1593"/>
      <c r="T7" s="1617"/>
      <c r="U7" s="1617"/>
      <c r="V7" s="1617"/>
      <c r="W7" s="1617"/>
      <c r="X7" s="1099" t="s">
        <v>921</v>
      </c>
      <c r="Y7" s="1442"/>
      <c r="AA7" s="1303" t="str">
        <f>CONCATENATE('FORM 1040-1'!D36," ",'FORM 1040-1'!I36)</f>
        <v xml:space="preserve"> </v>
      </c>
      <c r="AC7" s="6"/>
    </row>
    <row r="8" spans="1:29" s="1440" customFormat="1" ht="6" customHeight="1" thickTop="1">
      <c r="A8" s="1439"/>
      <c r="B8" s="1454"/>
      <c r="C8" s="1438"/>
      <c r="D8" s="1438"/>
      <c r="E8" s="1438"/>
      <c r="F8" s="1438"/>
      <c r="G8" s="1438"/>
      <c r="H8" s="1438"/>
      <c r="I8" s="1438"/>
      <c r="J8" s="1438"/>
      <c r="K8" s="1438"/>
      <c r="L8" s="1438"/>
      <c r="N8" s="6"/>
      <c r="O8" s="1439"/>
      <c r="Q8" s="1438"/>
      <c r="R8" s="1438"/>
      <c r="S8" s="1438"/>
      <c r="T8" s="1438"/>
      <c r="U8" s="1438"/>
      <c r="V8" s="1438"/>
      <c r="W8" s="1438"/>
      <c r="X8" s="1438"/>
      <c r="Y8" s="1438"/>
      <c r="AC8" s="6"/>
    </row>
    <row r="9" spans="1:29" s="1440" customFormat="1" ht="12" customHeight="1">
      <c r="A9" s="1439"/>
      <c r="B9" s="1464" t="s">
        <v>54</v>
      </c>
      <c r="C9" s="1771" t="s">
        <v>2052</v>
      </c>
      <c r="D9" s="1771"/>
      <c r="E9" s="1771"/>
      <c r="F9" s="1771"/>
      <c r="G9" s="1771"/>
      <c r="H9" s="1771"/>
      <c r="I9" s="1771"/>
      <c r="J9" s="1771"/>
      <c r="K9" s="1771"/>
      <c r="L9" s="1771"/>
      <c r="N9" s="6"/>
      <c r="O9" s="1439"/>
      <c r="P9" s="1449" t="s">
        <v>56</v>
      </c>
      <c r="Q9" s="1771" t="s">
        <v>255</v>
      </c>
      <c r="R9" s="1771"/>
      <c r="S9" s="1771"/>
      <c r="T9" s="1771"/>
      <c r="U9" s="1771"/>
      <c r="V9" s="1771"/>
      <c r="W9" s="1771"/>
      <c r="X9" s="1771"/>
      <c r="Y9" s="1771"/>
      <c r="AC9" s="6"/>
    </row>
    <row r="10" spans="1:29" s="1440" customFormat="1" ht="15" customHeight="1" thickBot="1">
      <c r="A10" s="1439"/>
      <c r="B10" s="1454"/>
      <c r="C10" s="132">
        <v>1</v>
      </c>
      <c r="D10" s="1596" t="s">
        <v>920</v>
      </c>
      <c r="E10" s="1596"/>
      <c r="F10" s="2232" t="str">
        <f>IF('FORM 1040-1'!D22="","",('FORM 1040-1'!D22))</f>
        <v/>
      </c>
      <c r="G10" s="2232"/>
      <c r="H10" s="2232"/>
      <c r="I10" s="2232"/>
      <c r="J10" s="2232"/>
      <c r="K10" s="1488" t="s">
        <v>2711</v>
      </c>
      <c r="L10" s="1472"/>
      <c r="N10" s="6"/>
      <c r="O10" s="1439"/>
      <c r="Q10" s="132">
        <v>1</v>
      </c>
      <c r="R10" s="1596" t="s">
        <v>920</v>
      </c>
      <c r="S10" s="1596"/>
      <c r="T10" s="1617"/>
      <c r="U10" s="1617"/>
      <c r="V10" s="1617"/>
      <c r="W10" s="1617"/>
      <c r="X10" s="1617"/>
      <c r="Y10" s="1617"/>
      <c r="AC10" s="6"/>
    </row>
    <row r="11" spans="1:29" s="1440" customFormat="1" ht="15" customHeight="1" thickTop="1" thickBot="1">
      <c r="A11" s="1439"/>
      <c r="B11" s="1454"/>
      <c r="C11" s="132">
        <v>2</v>
      </c>
      <c r="D11" s="1593" t="s">
        <v>988</v>
      </c>
      <c r="E11" s="1593"/>
      <c r="F11" s="2143" t="str">
        <f>IF('FORM 1040-1'!D26="","",AA11)</f>
        <v/>
      </c>
      <c r="G11" s="2143"/>
      <c r="H11" s="2143"/>
      <c r="I11" s="2231" t="s">
        <v>2202</v>
      </c>
      <c r="J11" s="2231"/>
      <c r="K11" s="2231"/>
      <c r="L11" s="1441"/>
      <c r="N11" s="6"/>
      <c r="O11" s="1439"/>
      <c r="Q11" s="132">
        <v>2</v>
      </c>
      <c r="R11" s="1593" t="s">
        <v>988</v>
      </c>
      <c r="S11" s="1593"/>
      <c r="T11" s="1617"/>
      <c r="U11" s="1617"/>
      <c r="V11" s="1617"/>
      <c r="W11" s="1617"/>
      <c r="X11" s="1099" t="s">
        <v>921</v>
      </c>
      <c r="Y11" s="1442"/>
      <c r="AA11" s="1303" t="str">
        <f>CONCATENATE('FORM 1040-1'!D26," ",'FORM 1040-1'!I26)</f>
        <v xml:space="preserve"> </v>
      </c>
      <c r="AC11" s="6"/>
    </row>
    <row r="12" spans="1:29" s="1440" customFormat="1" ht="6" customHeight="1" thickTop="1">
      <c r="A12" s="1439"/>
      <c r="B12" s="1454"/>
      <c r="C12" s="1438"/>
      <c r="D12" s="1438"/>
      <c r="E12" s="1438"/>
      <c r="F12" s="1438"/>
      <c r="G12" s="1438"/>
      <c r="H12" s="1438"/>
      <c r="I12" s="1438"/>
      <c r="J12" s="1438"/>
      <c r="K12" s="1438"/>
      <c r="L12" s="1438"/>
      <c r="N12" s="6"/>
      <c r="O12" s="1439"/>
      <c r="Q12" s="1438"/>
      <c r="R12" s="1438"/>
      <c r="S12" s="1438"/>
      <c r="T12" s="1438"/>
      <c r="U12" s="1438"/>
      <c r="V12" s="1438"/>
      <c r="W12" s="1438"/>
      <c r="X12" s="1438"/>
      <c r="Y12" s="1438"/>
      <c r="AC12" s="6"/>
    </row>
    <row r="13" spans="1:29" ht="12" customHeight="1">
      <c r="B13" s="1464" t="s">
        <v>55</v>
      </c>
      <c r="C13" s="1596" t="s">
        <v>253</v>
      </c>
      <c r="D13" s="1596"/>
      <c r="E13" s="1596"/>
      <c r="F13" s="1596"/>
      <c r="G13" s="1596"/>
      <c r="H13" s="1596"/>
      <c r="I13" s="1596"/>
      <c r="J13" s="1596"/>
      <c r="K13" s="1596"/>
      <c r="L13" s="1596"/>
      <c r="P13" s="1449" t="s">
        <v>53</v>
      </c>
      <c r="Q13" s="1596" t="s">
        <v>253</v>
      </c>
      <c r="R13" s="1596"/>
      <c r="S13" s="1596"/>
      <c r="T13" s="1596"/>
      <c r="U13" s="1596"/>
      <c r="V13" s="1596"/>
      <c r="W13" s="1596"/>
      <c r="X13" s="1596"/>
      <c r="Y13" s="1596"/>
      <c r="AB13" s="293" t="s">
        <v>312</v>
      </c>
    </row>
    <row r="14" spans="1:29" ht="15" customHeight="1" thickBot="1">
      <c r="B14" s="1454"/>
      <c r="C14" s="132">
        <v>1</v>
      </c>
      <c r="D14" s="1596" t="s">
        <v>920</v>
      </c>
      <c r="E14" s="1596"/>
      <c r="F14" s="2233"/>
      <c r="G14" s="2233"/>
      <c r="H14" s="2233"/>
      <c r="I14" s="2233"/>
      <c r="J14" s="2233"/>
      <c r="K14" s="1488" t="s">
        <v>2711</v>
      </c>
      <c r="L14" s="1472"/>
      <c r="P14" s="1440"/>
      <c r="Q14" s="132">
        <v>1</v>
      </c>
      <c r="R14" s="1596" t="s">
        <v>920</v>
      </c>
      <c r="S14" s="1596"/>
      <c r="T14" s="2202" t="str">
        <f>IF(F14="","",(F14))</f>
        <v/>
      </c>
      <c r="U14" s="2202"/>
      <c r="V14" s="2202"/>
      <c r="W14" s="2202"/>
      <c r="X14" s="2202"/>
      <c r="Y14" s="2202"/>
    </row>
    <row r="15" spans="1:29" ht="15" customHeight="1" thickTop="1" thickBot="1">
      <c r="B15" s="1454"/>
      <c r="C15" s="132">
        <v>2</v>
      </c>
      <c r="D15" s="1593" t="s">
        <v>988</v>
      </c>
      <c r="E15" s="1593"/>
      <c r="F15" s="1605"/>
      <c r="G15" s="1605"/>
      <c r="H15" s="1605"/>
      <c r="I15" s="2231" t="s">
        <v>2202</v>
      </c>
      <c r="J15" s="2231"/>
      <c r="K15" s="2231"/>
      <c r="L15" s="13"/>
      <c r="P15" s="1440"/>
      <c r="Q15" s="132">
        <v>2</v>
      </c>
      <c r="R15" s="1593" t="s">
        <v>988</v>
      </c>
      <c r="S15" s="1593"/>
      <c r="T15" s="2202" t="str">
        <f>IF(F15="","",(F15))</f>
        <v/>
      </c>
      <c r="U15" s="2202"/>
      <c r="V15" s="2202"/>
      <c r="W15" s="2202"/>
      <c r="X15" s="489" t="s">
        <v>921</v>
      </c>
      <c r="Y15" s="19" t="str">
        <f>IF(L15="","",(L15))</f>
        <v/>
      </c>
    </row>
    <row r="16" spans="1:29" ht="6" customHeight="1" thickTop="1">
      <c r="B16" s="1454"/>
      <c r="C16" s="21"/>
      <c r="D16" s="21"/>
      <c r="E16" s="21"/>
      <c r="F16" s="21"/>
      <c r="G16" s="21"/>
      <c r="H16" s="21"/>
      <c r="I16" s="21"/>
      <c r="J16" s="1438"/>
      <c r="K16" s="21"/>
      <c r="L16" s="21"/>
      <c r="P16" s="1440"/>
      <c r="Q16" s="21"/>
      <c r="R16" s="21"/>
      <c r="S16" s="21"/>
      <c r="T16" s="21"/>
      <c r="U16" s="21"/>
      <c r="V16" s="21"/>
      <c r="W16" s="21"/>
      <c r="X16" s="21"/>
      <c r="Y16" s="21"/>
    </row>
    <row r="17" spans="2:28" ht="12" customHeight="1">
      <c r="B17" s="1464" t="s">
        <v>56</v>
      </c>
      <c r="C17" s="1771" t="s">
        <v>272</v>
      </c>
      <c r="D17" s="1771"/>
      <c r="E17" s="1771"/>
      <c r="F17" s="1771"/>
      <c r="G17" s="1771"/>
      <c r="H17" s="1771"/>
      <c r="I17" s="1771"/>
      <c r="J17" s="1771"/>
      <c r="K17" s="1771"/>
      <c r="L17" s="1771"/>
      <c r="P17" s="1449" t="s">
        <v>54</v>
      </c>
      <c r="Q17" s="1771" t="s">
        <v>272</v>
      </c>
      <c r="R17" s="1771"/>
      <c r="S17" s="1771"/>
      <c r="T17" s="1771"/>
      <c r="U17" s="1771"/>
      <c r="V17" s="1771"/>
      <c r="W17" s="1771"/>
      <c r="X17" s="1771"/>
      <c r="Y17" s="1771"/>
      <c r="AB17" s="1116" t="s">
        <v>2032</v>
      </c>
    </row>
    <row r="18" spans="2:28" ht="15" customHeight="1" thickBot="1">
      <c r="B18" s="1454"/>
      <c r="C18" s="132">
        <v>1</v>
      </c>
      <c r="D18" s="1596" t="s">
        <v>920</v>
      </c>
      <c r="E18" s="1596"/>
      <c r="F18" s="1675"/>
      <c r="G18" s="1675"/>
      <c r="H18" s="1675"/>
      <c r="I18" s="1675"/>
      <c r="J18" s="1675"/>
      <c r="K18" s="1488" t="s">
        <v>2711</v>
      </c>
      <c r="L18" s="1472"/>
      <c r="P18" s="1440"/>
      <c r="Q18" s="132">
        <v>1</v>
      </c>
      <c r="R18" s="1596" t="s">
        <v>920</v>
      </c>
      <c r="S18" s="1596"/>
      <c r="T18" s="1617"/>
      <c r="U18" s="1617"/>
      <c r="V18" s="1617"/>
      <c r="W18" s="1617"/>
      <c r="X18" s="1617"/>
      <c r="Y18" s="1617"/>
      <c r="AB18" s="1116" t="s">
        <v>2054</v>
      </c>
    </row>
    <row r="19" spans="2:28" ht="15" customHeight="1" thickTop="1" thickBot="1">
      <c r="B19" s="1454"/>
      <c r="C19" s="132">
        <v>2</v>
      </c>
      <c r="D19" s="1593" t="s">
        <v>988</v>
      </c>
      <c r="E19" s="1593"/>
      <c r="F19" s="1605"/>
      <c r="G19" s="1605"/>
      <c r="H19" s="1605"/>
      <c r="I19" s="2231" t="s">
        <v>2202</v>
      </c>
      <c r="J19" s="2231"/>
      <c r="K19" s="2231"/>
      <c r="L19" s="13"/>
      <c r="P19" s="1440"/>
      <c r="Q19" s="132">
        <v>2</v>
      </c>
      <c r="R19" s="1593" t="s">
        <v>988</v>
      </c>
      <c r="S19" s="1593"/>
      <c r="T19" s="1617"/>
      <c r="U19" s="1617"/>
      <c r="V19" s="1617"/>
      <c r="W19" s="1617"/>
      <c r="X19" s="489" t="s">
        <v>921</v>
      </c>
      <c r="Y19" s="14"/>
      <c r="AB19" s="1116" t="s">
        <v>2053</v>
      </c>
    </row>
    <row r="20" spans="2:28" ht="6" customHeight="1" thickTop="1">
      <c r="B20" s="1454"/>
      <c r="C20" s="21"/>
      <c r="D20" s="21"/>
      <c r="E20" s="21"/>
      <c r="F20" s="21"/>
      <c r="G20" s="21"/>
      <c r="H20" s="21"/>
      <c r="I20" s="21"/>
      <c r="J20" s="1438"/>
      <c r="K20" s="21"/>
      <c r="L20" s="21"/>
      <c r="P20" s="1440"/>
      <c r="Q20" s="21"/>
      <c r="R20" s="21"/>
      <c r="S20" s="21"/>
      <c r="T20" s="21"/>
      <c r="U20" s="21"/>
      <c r="V20" s="21"/>
      <c r="W20" s="21"/>
      <c r="X20" s="21"/>
      <c r="Y20" s="21"/>
      <c r="AB20" s="1116" t="s">
        <v>2055</v>
      </c>
    </row>
    <row r="21" spans="2:28" ht="12" customHeight="1">
      <c r="B21" s="1464" t="s">
        <v>105</v>
      </c>
      <c r="C21" s="1771" t="s">
        <v>254</v>
      </c>
      <c r="D21" s="1771"/>
      <c r="E21" s="1771"/>
      <c r="F21" s="1771"/>
      <c r="G21" s="1771"/>
      <c r="H21" s="1771"/>
      <c r="I21" s="1771"/>
      <c r="J21" s="1771"/>
      <c r="K21" s="1771"/>
      <c r="L21" s="1771"/>
      <c r="P21" s="1449" t="s">
        <v>55</v>
      </c>
      <c r="Q21" s="1771" t="s">
        <v>254</v>
      </c>
      <c r="R21" s="1771"/>
      <c r="S21" s="1771"/>
      <c r="T21" s="1771"/>
      <c r="U21" s="1771"/>
      <c r="V21" s="1771"/>
      <c r="W21" s="1771"/>
      <c r="X21" s="1771"/>
      <c r="Y21" s="1771"/>
    </row>
    <row r="22" spans="2:28" ht="15" customHeight="1" thickBot="1">
      <c r="B22" s="1454"/>
      <c r="C22" s="132">
        <v>1</v>
      </c>
      <c r="D22" s="1596" t="s">
        <v>920</v>
      </c>
      <c r="E22" s="1596"/>
      <c r="F22" s="2232" t="str">
        <f>IF('FORM 1040-23'!E29="","",('FORM 1040-23'!E29))</f>
        <v/>
      </c>
      <c r="G22" s="2232"/>
      <c r="H22" s="2232"/>
      <c r="I22" s="2232"/>
      <c r="J22" s="2232"/>
      <c r="K22" s="1488" t="s">
        <v>2711</v>
      </c>
      <c r="L22" s="1472"/>
      <c r="P22" s="1440"/>
      <c r="Q22" s="132">
        <v>1</v>
      </c>
      <c r="R22" s="1596" t="s">
        <v>920</v>
      </c>
      <c r="S22" s="1596"/>
      <c r="T22" s="2202" t="str">
        <f>IF(F22="","",(F22))</f>
        <v/>
      </c>
      <c r="U22" s="2202"/>
      <c r="V22" s="2202"/>
      <c r="W22" s="2202"/>
      <c r="X22" s="2202"/>
      <c r="Y22" s="2202"/>
    </row>
    <row r="23" spans="2:28" ht="15" customHeight="1" thickTop="1" thickBot="1">
      <c r="B23" s="1454"/>
      <c r="C23" s="132">
        <v>2</v>
      </c>
      <c r="D23" s="1593" t="s">
        <v>988</v>
      </c>
      <c r="E23" s="1593"/>
      <c r="F23" s="2143" t="str">
        <f>IF('FORM 1040-23'!E31="","",('FORM 1040-23'!E31))</f>
        <v/>
      </c>
      <c r="G23" s="2143"/>
      <c r="H23" s="2143"/>
      <c r="I23" s="2231" t="s">
        <v>2202</v>
      </c>
      <c r="J23" s="2231"/>
      <c r="K23" s="2231"/>
      <c r="L23" s="13"/>
      <c r="P23" s="1440"/>
      <c r="Q23" s="132">
        <v>2</v>
      </c>
      <c r="R23" s="1593" t="s">
        <v>988</v>
      </c>
      <c r="S23" s="1593"/>
      <c r="T23" s="2202" t="str">
        <f>IF(F23="","",(F23))</f>
        <v/>
      </c>
      <c r="U23" s="2202"/>
      <c r="V23" s="2202"/>
      <c r="W23" s="2202"/>
      <c r="X23" s="489" t="s">
        <v>921</v>
      </c>
      <c r="Y23" s="19" t="str">
        <f>IF(L23="","",(L23))</f>
        <v/>
      </c>
      <c r="Z23" s="24"/>
    </row>
    <row r="24" spans="2:28" ht="6" customHeight="1" thickTop="1">
      <c r="B24" s="1456"/>
      <c r="C24" s="21"/>
      <c r="D24" s="21"/>
      <c r="E24" s="21"/>
      <c r="F24" s="21"/>
      <c r="G24" s="21"/>
      <c r="H24" s="21"/>
      <c r="I24" s="21"/>
      <c r="J24" s="1438"/>
      <c r="K24" s="21"/>
      <c r="L24" s="21"/>
      <c r="P24" s="1440"/>
      <c r="Q24" s="21"/>
      <c r="R24" s="21"/>
      <c r="S24" s="21"/>
      <c r="T24" s="21"/>
      <c r="U24" s="21"/>
      <c r="V24" s="21"/>
      <c r="W24" s="21"/>
      <c r="X24" s="21"/>
      <c r="Y24" s="21"/>
    </row>
    <row r="25" spans="2:28" ht="12" customHeight="1">
      <c r="B25" s="1464" t="s">
        <v>106</v>
      </c>
      <c r="C25" s="1771" t="s">
        <v>255</v>
      </c>
      <c r="D25" s="1771"/>
      <c r="E25" s="1771"/>
      <c r="F25" s="1771"/>
      <c r="G25" s="1771"/>
      <c r="H25" s="1771"/>
      <c r="I25" s="1771"/>
      <c r="J25" s="1771"/>
      <c r="K25" s="1771"/>
      <c r="L25" s="1771"/>
      <c r="P25" s="1449" t="s">
        <v>56</v>
      </c>
      <c r="Q25" s="1771" t="s">
        <v>255</v>
      </c>
      <c r="R25" s="1771"/>
      <c r="S25" s="1771"/>
      <c r="T25" s="1771"/>
      <c r="U25" s="1771"/>
      <c r="V25" s="1771"/>
      <c r="W25" s="1771"/>
      <c r="X25" s="1771"/>
      <c r="Y25" s="1771"/>
    </row>
    <row r="26" spans="2:28" ht="15" customHeight="1" thickBot="1">
      <c r="B26" s="1454"/>
      <c r="C26" s="132">
        <v>1</v>
      </c>
      <c r="D26" s="1596" t="s">
        <v>920</v>
      </c>
      <c r="E26" s="1596"/>
      <c r="F26" s="1675"/>
      <c r="G26" s="1675"/>
      <c r="H26" s="1675"/>
      <c r="I26" s="1675"/>
      <c r="J26" s="1675"/>
      <c r="K26" s="1488" t="s">
        <v>2711</v>
      </c>
      <c r="L26" s="1472"/>
      <c r="P26" s="1440"/>
      <c r="Q26" s="132">
        <v>1</v>
      </c>
      <c r="R26" s="1596" t="s">
        <v>920</v>
      </c>
      <c r="S26" s="1596"/>
      <c r="T26" s="1617"/>
      <c r="U26" s="1617"/>
      <c r="V26" s="1617"/>
      <c r="W26" s="1617"/>
      <c r="X26" s="1617"/>
      <c r="Y26" s="1617"/>
    </row>
    <row r="27" spans="2:28" ht="15" customHeight="1" thickTop="1" thickBot="1">
      <c r="B27" s="1454"/>
      <c r="C27" s="132">
        <v>2</v>
      </c>
      <c r="D27" s="1593" t="s">
        <v>988</v>
      </c>
      <c r="E27" s="1593"/>
      <c r="F27" s="1605"/>
      <c r="G27" s="1605"/>
      <c r="H27" s="1605"/>
      <c r="I27" s="2231" t="s">
        <v>2202</v>
      </c>
      <c r="J27" s="2231"/>
      <c r="K27" s="2231"/>
      <c r="L27" s="13"/>
      <c r="P27" s="1440"/>
      <c r="Q27" s="132">
        <v>2</v>
      </c>
      <c r="R27" s="1593" t="s">
        <v>988</v>
      </c>
      <c r="S27" s="1593"/>
      <c r="T27" s="1617"/>
      <c r="U27" s="1617"/>
      <c r="V27" s="1617"/>
      <c r="W27" s="1617"/>
      <c r="X27" s="489" t="s">
        <v>921</v>
      </c>
      <c r="Y27" s="14"/>
    </row>
    <row r="28" spans="2:28" ht="6" customHeight="1" thickTop="1">
      <c r="B28" s="1454"/>
      <c r="C28" s="21"/>
      <c r="D28" s="21"/>
      <c r="E28" s="21"/>
      <c r="F28" s="21"/>
      <c r="G28" s="21"/>
      <c r="H28" s="21"/>
      <c r="I28" s="21"/>
      <c r="J28" s="1438"/>
      <c r="K28" s="21"/>
      <c r="L28" s="21"/>
      <c r="P28" s="1440"/>
      <c r="Q28" s="21"/>
      <c r="R28" s="21"/>
      <c r="S28" s="21"/>
      <c r="T28" s="21"/>
      <c r="U28" s="21"/>
      <c r="V28" s="21"/>
      <c r="W28" s="21"/>
      <c r="X28" s="21"/>
      <c r="Y28" s="21"/>
    </row>
    <row r="29" spans="2:28" ht="12" customHeight="1">
      <c r="B29" s="1464" t="s">
        <v>107</v>
      </c>
      <c r="C29" s="1771" t="s">
        <v>310</v>
      </c>
      <c r="D29" s="1771"/>
      <c r="E29" s="1771"/>
      <c r="F29" s="1771"/>
      <c r="G29" s="1771"/>
      <c r="H29" s="1771"/>
      <c r="I29" s="1771"/>
      <c r="J29" s="1771"/>
      <c r="K29" s="1771"/>
      <c r="L29" s="1771"/>
      <c r="P29" s="1449" t="s">
        <v>105</v>
      </c>
      <c r="Q29" s="1771" t="s">
        <v>310</v>
      </c>
      <c r="R29" s="1771"/>
      <c r="S29" s="1771"/>
      <c r="T29" s="1771"/>
      <c r="U29" s="1771"/>
      <c r="V29" s="1771"/>
      <c r="W29" s="1771"/>
      <c r="X29" s="1771"/>
      <c r="Y29" s="1771"/>
    </row>
    <row r="30" spans="2:28" ht="15" customHeight="1" thickBot="1">
      <c r="B30" s="1454"/>
      <c r="C30" s="132">
        <v>1</v>
      </c>
      <c r="D30" s="1596" t="s">
        <v>920</v>
      </c>
      <c r="E30" s="1596"/>
      <c r="F30" s="1675"/>
      <c r="G30" s="1675"/>
      <c r="H30" s="1675"/>
      <c r="I30" s="1675"/>
      <c r="J30" s="1675"/>
      <c r="K30" s="1488" t="s">
        <v>2711</v>
      </c>
      <c r="L30" s="1472"/>
      <c r="P30" s="1440"/>
      <c r="Q30" s="132">
        <v>1</v>
      </c>
      <c r="R30" s="1596" t="s">
        <v>920</v>
      </c>
      <c r="S30" s="1596"/>
      <c r="T30" s="1617"/>
      <c r="U30" s="1617"/>
      <c r="V30" s="1617"/>
      <c r="W30" s="1617"/>
      <c r="X30" s="1617"/>
      <c r="Y30" s="1617"/>
    </row>
    <row r="31" spans="2:28" ht="15" customHeight="1" thickTop="1" thickBot="1">
      <c r="B31" s="1454"/>
      <c r="C31" s="132">
        <v>2</v>
      </c>
      <c r="D31" s="1593" t="s">
        <v>988</v>
      </c>
      <c r="E31" s="1593"/>
      <c r="F31" s="1605"/>
      <c r="G31" s="1605"/>
      <c r="H31" s="1605"/>
      <c r="I31" s="2231" t="s">
        <v>2202</v>
      </c>
      <c r="J31" s="2231"/>
      <c r="K31" s="2231"/>
      <c r="L31" s="13"/>
      <c r="P31" s="1440"/>
      <c r="Q31" s="132">
        <v>2</v>
      </c>
      <c r="R31" s="1593" t="s">
        <v>988</v>
      </c>
      <c r="S31" s="1593"/>
      <c r="T31" s="1617"/>
      <c r="U31" s="1617"/>
      <c r="V31" s="1617"/>
      <c r="W31" s="1617"/>
      <c r="X31" s="489" t="s">
        <v>921</v>
      </c>
      <c r="Y31" s="14"/>
    </row>
    <row r="32" spans="2:28" ht="6" customHeight="1" thickTop="1">
      <c r="B32" s="1454"/>
      <c r="P32" s="1437"/>
    </row>
    <row r="33" spans="1:29" ht="12" customHeight="1">
      <c r="B33" s="1464" t="s">
        <v>109</v>
      </c>
      <c r="C33" s="1771" t="s">
        <v>308</v>
      </c>
      <c r="D33" s="1771"/>
      <c r="E33" s="1771"/>
      <c r="F33" s="1771"/>
      <c r="G33" s="1771"/>
      <c r="H33" s="1771"/>
      <c r="I33" s="1771"/>
      <c r="J33" s="1771"/>
      <c r="K33" s="1771"/>
      <c r="L33" s="1771"/>
      <c r="P33" s="1449" t="s">
        <v>106</v>
      </c>
      <c r="Q33" s="1771" t="s">
        <v>308</v>
      </c>
      <c r="R33" s="1771"/>
      <c r="S33" s="1771"/>
      <c r="T33" s="1771"/>
      <c r="U33" s="1771"/>
      <c r="V33" s="1771"/>
      <c r="W33" s="1771"/>
      <c r="X33" s="1771"/>
      <c r="Y33" s="1771"/>
    </row>
    <row r="34" spans="1:29" ht="15" customHeight="1" thickBot="1">
      <c r="B34" s="1454"/>
      <c r="C34" s="132">
        <v>1</v>
      </c>
      <c r="D34" s="1596" t="s">
        <v>920</v>
      </c>
      <c r="E34" s="1596"/>
      <c r="F34" s="1675"/>
      <c r="G34" s="1675"/>
      <c r="H34" s="1675"/>
      <c r="I34" s="1675"/>
      <c r="J34" s="1675"/>
      <c r="K34" s="1488" t="s">
        <v>2711</v>
      </c>
      <c r="L34" s="1472"/>
      <c r="P34" s="1440"/>
      <c r="Q34" s="132">
        <v>1</v>
      </c>
      <c r="R34" s="1596" t="s">
        <v>920</v>
      </c>
      <c r="S34" s="1596"/>
      <c r="T34" s="1617"/>
      <c r="U34" s="1617"/>
      <c r="V34" s="1617"/>
      <c r="W34" s="1617"/>
      <c r="X34" s="1617"/>
      <c r="Y34" s="1617"/>
    </row>
    <row r="35" spans="1:29" ht="15" customHeight="1" thickTop="1" thickBot="1">
      <c r="B35" s="1454"/>
      <c r="C35" s="132">
        <v>2</v>
      </c>
      <c r="D35" s="1593" t="s">
        <v>988</v>
      </c>
      <c r="E35" s="1593"/>
      <c r="F35" s="1605"/>
      <c r="G35" s="1605"/>
      <c r="H35" s="1605"/>
      <c r="I35" s="2231" t="s">
        <v>2202</v>
      </c>
      <c r="J35" s="2231"/>
      <c r="K35" s="2231"/>
      <c r="L35" s="13"/>
      <c r="P35" s="1440"/>
      <c r="Q35" s="132">
        <v>2</v>
      </c>
      <c r="R35" s="1593" t="s">
        <v>988</v>
      </c>
      <c r="S35" s="1593"/>
      <c r="T35" s="1617"/>
      <c r="U35" s="1617"/>
      <c r="V35" s="1617"/>
      <c r="W35" s="1617"/>
      <c r="X35" s="489" t="s">
        <v>921</v>
      </c>
      <c r="Y35" s="14"/>
    </row>
    <row r="36" spans="1:29" ht="6" customHeight="1" thickTop="1">
      <c r="B36" s="1454"/>
      <c r="C36" s="21"/>
      <c r="D36" s="21"/>
      <c r="E36" s="21"/>
      <c r="F36" s="21"/>
      <c r="G36" s="21"/>
      <c r="H36" s="21"/>
      <c r="I36" s="21"/>
      <c r="J36" s="1438"/>
      <c r="K36" s="21"/>
      <c r="L36" s="21"/>
      <c r="P36" s="1440"/>
      <c r="Q36" s="21"/>
      <c r="R36" s="21"/>
      <c r="S36" s="21"/>
      <c r="T36" s="21"/>
      <c r="U36" s="21"/>
      <c r="V36" s="21"/>
      <c r="W36" s="21"/>
      <c r="X36" s="21"/>
      <c r="Y36" s="21"/>
    </row>
    <row r="37" spans="1:29" ht="12" customHeight="1">
      <c r="B37" s="1464" t="s">
        <v>42</v>
      </c>
      <c r="C37" s="1771" t="s">
        <v>1501</v>
      </c>
      <c r="D37" s="1771"/>
      <c r="E37" s="1771"/>
      <c r="F37" s="1771"/>
      <c r="G37" s="1771"/>
      <c r="H37" s="1771"/>
      <c r="I37" s="1771"/>
      <c r="J37" s="1771"/>
      <c r="K37" s="1771"/>
      <c r="L37" s="1771"/>
      <c r="P37" s="1449" t="s">
        <v>107</v>
      </c>
      <c r="Q37" s="1771" t="s">
        <v>1501</v>
      </c>
      <c r="R37" s="1771"/>
      <c r="S37" s="1771"/>
      <c r="T37" s="1771"/>
      <c r="U37" s="1771"/>
      <c r="V37" s="1771"/>
      <c r="W37" s="1771"/>
      <c r="X37" s="1771"/>
      <c r="Y37" s="1771"/>
    </row>
    <row r="38" spans="1:29" ht="15" customHeight="1" thickBot="1">
      <c r="B38" s="1454"/>
      <c r="C38" s="132">
        <v>1</v>
      </c>
      <c r="D38" s="1596" t="s">
        <v>920</v>
      </c>
      <c r="E38" s="1596"/>
      <c r="F38" s="1675"/>
      <c r="G38" s="1675"/>
      <c r="H38" s="1675"/>
      <c r="I38" s="1675"/>
      <c r="J38" s="1675"/>
      <c r="K38" s="1488" t="s">
        <v>2711</v>
      </c>
      <c r="L38" s="1472"/>
      <c r="P38" s="1440"/>
      <c r="Q38" s="132">
        <v>1</v>
      </c>
      <c r="R38" s="1596" t="s">
        <v>920</v>
      </c>
      <c r="S38" s="1596"/>
      <c r="T38" s="2234" t="str">
        <f>IF(F38="","",(F38))</f>
        <v/>
      </c>
      <c r="U38" s="2234"/>
      <c r="V38" s="2234"/>
      <c r="W38" s="2234"/>
      <c r="X38" s="2234"/>
      <c r="Y38" s="2234"/>
    </row>
    <row r="39" spans="1:29" ht="15" customHeight="1" thickTop="1" thickBot="1">
      <c r="B39" s="1454"/>
      <c r="C39" s="132">
        <v>2</v>
      </c>
      <c r="D39" s="1593" t="s">
        <v>988</v>
      </c>
      <c r="E39" s="1593"/>
      <c r="F39" s="1605"/>
      <c r="G39" s="1605"/>
      <c r="H39" s="1605"/>
      <c r="I39" s="2231" t="s">
        <v>2202</v>
      </c>
      <c r="J39" s="2231"/>
      <c r="K39" s="2231"/>
      <c r="L39" s="13"/>
      <c r="P39" s="1440"/>
      <c r="Q39" s="132">
        <v>2</v>
      </c>
      <c r="R39" s="1593" t="s">
        <v>988</v>
      </c>
      <c r="S39" s="1593"/>
      <c r="T39" s="2234" t="str">
        <f>IF(F39="","",(F39))</f>
        <v/>
      </c>
      <c r="U39" s="2234"/>
      <c r="V39" s="2234"/>
      <c r="W39" s="2234"/>
      <c r="X39" s="489" t="s">
        <v>921</v>
      </c>
      <c r="Y39" s="19" t="str">
        <f>IF(L39="","",(L39))</f>
        <v/>
      </c>
    </row>
    <row r="40" spans="1:29" ht="6" customHeight="1" thickTop="1">
      <c r="B40" s="1454"/>
      <c r="C40" s="21"/>
      <c r="D40" s="21"/>
      <c r="E40" s="21"/>
      <c r="F40" s="21"/>
      <c r="G40" s="21"/>
      <c r="H40" s="21"/>
      <c r="I40" s="21"/>
      <c r="J40" s="1438"/>
      <c r="K40" s="21"/>
      <c r="L40" s="21"/>
      <c r="P40" s="1440"/>
      <c r="Q40" s="21"/>
      <c r="R40" s="21"/>
      <c r="S40" s="21"/>
      <c r="T40" s="21"/>
      <c r="U40" s="21"/>
      <c r="V40" s="21"/>
      <c r="W40" s="21"/>
      <c r="X40" s="21"/>
      <c r="Y40" s="21"/>
    </row>
    <row r="41" spans="1:29" ht="12" customHeight="1">
      <c r="B41" s="1464" t="s">
        <v>110</v>
      </c>
      <c r="C41" s="1771" t="s">
        <v>256</v>
      </c>
      <c r="D41" s="1771"/>
      <c r="E41" s="1771"/>
      <c r="F41" s="1771"/>
      <c r="G41" s="1771"/>
      <c r="H41" s="1771"/>
      <c r="I41" s="1771"/>
      <c r="J41" s="1771"/>
      <c r="K41" s="1771"/>
      <c r="L41" s="1771"/>
      <c r="P41" s="1449" t="s">
        <v>109</v>
      </c>
      <c r="Q41" s="1771" t="s">
        <v>256</v>
      </c>
      <c r="R41" s="1771"/>
      <c r="S41" s="1771"/>
      <c r="T41" s="1771"/>
      <c r="U41" s="1771"/>
      <c r="V41" s="1771"/>
      <c r="W41" s="1771"/>
      <c r="X41" s="1771"/>
      <c r="Y41" s="1771"/>
    </row>
    <row r="42" spans="1:29" ht="15" customHeight="1" thickBot="1">
      <c r="B42" s="1454"/>
      <c r="C42" s="132">
        <v>1</v>
      </c>
      <c r="D42" s="1596" t="s">
        <v>920</v>
      </c>
      <c r="E42" s="1596"/>
      <c r="F42" s="2232" t="str">
        <f>IF('FORM 1040-23'!E37="","",('FORM 1040-23'!E37))</f>
        <v/>
      </c>
      <c r="G42" s="2232"/>
      <c r="H42" s="2232"/>
      <c r="I42" s="2232"/>
      <c r="J42" s="2232"/>
      <c r="K42" s="1488" t="s">
        <v>2711</v>
      </c>
      <c r="L42" s="1472"/>
      <c r="P42" s="1440"/>
      <c r="Q42" s="132">
        <v>1</v>
      </c>
      <c r="R42" s="1596" t="s">
        <v>920</v>
      </c>
      <c r="S42" s="1596"/>
      <c r="T42" s="2202" t="str">
        <f>IF(F42="","",(F42))</f>
        <v/>
      </c>
      <c r="U42" s="2202"/>
      <c r="V42" s="2202"/>
      <c r="W42" s="2202"/>
      <c r="X42" s="2202"/>
      <c r="Y42" s="2202"/>
    </row>
    <row r="43" spans="1:29" ht="15" customHeight="1" thickTop="1" thickBot="1">
      <c r="B43" s="1454"/>
      <c r="C43" s="132">
        <v>2</v>
      </c>
      <c r="D43" s="1593" t="s">
        <v>988</v>
      </c>
      <c r="E43" s="1593"/>
      <c r="F43" s="2143" t="str">
        <f>IF('FORM 1040-23'!E39="","",('FORM 1040-23'!E39))</f>
        <v/>
      </c>
      <c r="G43" s="2143"/>
      <c r="H43" s="2143"/>
      <c r="I43" s="2231" t="s">
        <v>2202</v>
      </c>
      <c r="J43" s="2231"/>
      <c r="K43" s="2231"/>
      <c r="L43" s="577" t="str">
        <f>IF(ISBLANK('FORM 1040-3'!K34),"",IF('FORM 1040-3'!K34="NO",FALSE,IF('FORM 1040-3'!K34="YES",TRUE)))</f>
        <v/>
      </c>
      <c r="P43" s="1440"/>
      <c r="Q43" s="132">
        <v>2</v>
      </c>
      <c r="R43" s="1593" t="s">
        <v>988</v>
      </c>
      <c r="S43" s="1593"/>
      <c r="T43" s="2202" t="str">
        <f>IF(F43="","",(F43))</f>
        <v/>
      </c>
      <c r="U43" s="2202"/>
      <c r="V43" s="2202"/>
      <c r="W43" s="2202"/>
      <c r="X43" s="489" t="s">
        <v>921</v>
      </c>
      <c r="Y43" s="19" t="str">
        <f>IF(L43="","",(L43))</f>
        <v/>
      </c>
    </row>
    <row r="44" spans="1:29" ht="6" customHeight="1" thickTop="1">
      <c r="B44" s="1454"/>
      <c r="C44" s="21"/>
      <c r="D44" s="21"/>
      <c r="E44" s="21"/>
      <c r="F44" s="21"/>
      <c r="G44" s="21"/>
      <c r="H44" s="21"/>
      <c r="I44" s="21"/>
      <c r="J44" s="1438"/>
      <c r="K44" s="21"/>
      <c r="L44" s="21"/>
      <c r="P44" s="1440"/>
      <c r="Q44" s="21"/>
      <c r="R44" s="21"/>
      <c r="S44" s="21"/>
      <c r="T44" s="21"/>
      <c r="U44" s="21"/>
      <c r="V44" s="21"/>
      <c r="W44" s="21"/>
      <c r="X44" s="21"/>
      <c r="Y44" s="21"/>
    </row>
    <row r="45" spans="1:29" s="939" customFormat="1" ht="12" customHeight="1">
      <c r="A45" s="943"/>
      <c r="B45" s="1464" t="s">
        <v>111</v>
      </c>
      <c r="C45" s="1771" t="s">
        <v>2050</v>
      </c>
      <c r="D45" s="1771"/>
      <c r="E45" s="1771"/>
      <c r="F45" s="1771"/>
      <c r="G45" s="1771"/>
      <c r="H45" s="1771"/>
      <c r="I45" s="1771"/>
      <c r="J45" s="1771"/>
      <c r="K45" s="1771"/>
      <c r="L45" s="1771"/>
      <c r="N45" s="6"/>
      <c r="O45" s="943"/>
      <c r="P45" s="1449" t="s">
        <v>42</v>
      </c>
      <c r="Q45" s="1771" t="s">
        <v>2050</v>
      </c>
      <c r="R45" s="1771"/>
      <c r="S45" s="1771"/>
      <c r="T45" s="1771"/>
      <c r="U45" s="1771"/>
      <c r="V45" s="1771"/>
      <c r="W45" s="1771"/>
      <c r="X45" s="1771"/>
      <c r="Y45" s="1771"/>
      <c r="AC45" s="6"/>
    </row>
    <row r="46" spans="1:29" s="939" customFormat="1" ht="15" customHeight="1" thickBot="1">
      <c r="A46" s="943"/>
      <c r="B46" s="1454"/>
      <c r="C46" s="132">
        <v>1</v>
      </c>
      <c r="D46" s="1596" t="s">
        <v>920</v>
      </c>
      <c r="E46" s="1596"/>
      <c r="F46" s="1675"/>
      <c r="G46" s="1675"/>
      <c r="H46" s="1675"/>
      <c r="I46" s="1675"/>
      <c r="J46" s="1675"/>
      <c r="K46" s="1488" t="s">
        <v>2711</v>
      </c>
      <c r="L46" s="1472"/>
      <c r="N46" s="6"/>
      <c r="O46" s="943"/>
      <c r="P46" s="1440"/>
      <c r="Q46" s="132">
        <v>1</v>
      </c>
      <c r="R46" s="1596" t="s">
        <v>920</v>
      </c>
      <c r="S46" s="1596"/>
      <c r="T46" s="1617"/>
      <c r="U46" s="1617"/>
      <c r="V46" s="1617"/>
      <c r="W46" s="1617"/>
      <c r="X46" s="1617"/>
      <c r="Y46" s="1617"/>
      <c r="AC46" s="6"/>
    </row>
    <row r="47" spans="1:29" s="939" customFormat="1" ht="15" customHeight="1" thickTop="1" thickBot="1">
      <c r="A47" s="943"/>
      <c r="B47" s="1454"/>
      <c r="C47" s="132">
        <v>2</v>
      </c>
      <c r="D47" s="1593" t="s">
        <v>988</v>
      </c>
      <c r="E47" s="1593"/>
      <c r="F47" s="1605"/>
      <c r="G47" s="1605"/>
      <c r="H47" s="1605"/>
      <c r="I47" s="2231" t="s">
        <v>2202</v>
      </c>
      <c r="J47" s="2231"/>
      <c r="K47" s="2231"/>
      <c r="L47" s="938"/>
      <c r="N47" s="6"/>
      <c r="O47" s="943"/>
      <c r="P47" s="1440"/>
      <c r="Q47" s="132">
        <v>2</v>
      </c>
      <c r="R47" s="1593" t="s">
        <v>988</v>
      </c>
      <c r="S47" s="1593"/>
      <c r="T47" s="1617"/>
      <c r="U47" s="1617"/>
      <c r="V47" s="1617"/>
      <c r="W47" s="1617"/>
      <c r="X47" s="949" t="s">
        <v>921</v>
      </c>
      <c r="Y47" s="940"/>
      <c r="AC47" s="6"/>
    </row>
    <row r="48" spans="1:29" s="939" customFormat="1" ht="6" customHeight="1" thickTop="1">
      <c r="A48" s="943"/>
      <c r="B48" s="1454"/>
      <c r="C48" s="947"/>
      <c r="D48" s="947"/>
      <c r="E48" s="947"/>
      <c r="F48" s="947"/>
      <c r="G48" s="947"/>
      <c r="H48" s="947"/>
      <c r="I48" s="947"/>
      <c r="J48" s="1438"/>
      <c r="K48" s="947"/>
      <c r="L48" s="947"/>
      <c r="N48" s="6"/>
      <c r="O48" s="943"/>
      <c r="P48" s="1440"/>
      <c r="Q48" s="947"/>
      <c r="R48" s="947"/>
      <c r="S48" s="947"/>
      <c r="T48" s="947"/>
      <c r="U48" s="947"/>
      <c r="V48" s="947"/>
      <c r="W48" s="947"/>
      <c r="X48" s="947"/>
      <c r="Y48" s="947"/>
      <c r="AC48" s="6"/>
    </row>
    <row r="49" spans="2:25" ht="12" customHeight="1">
      <c r="B49" s="1464" t="s">
        <v>112</v>
      </c>
      <c r="C49" s="1771" t="s">
        <v>257</v>
      </c>
      <c r="D49" s="1771"/>
      <c r="E49" s="1771"/>
      <c r="F49" s="1771"/>
      <c r="G49" s="1771"/>
      <c r="H49" s="1771"/>
      <c r="I49" s="1771"/>
      <c r="J49" s="1771"/>
      <c r="K49" s="1771"/>
      <c r="L49" s="1771"/>
      <c r="P49" s="1449" t="s">
        <v>110</v>
      </c>
      <c r="Q49" s="1771" t="s">
        <v>257</v>
      </c>
      <c r="R49" s="1771"/>
      <c r="S49" s="1771"/>
      <c r="T49" s="1771"/>
      <c r="U49" s="1771"/>
      <c r="V49" s="1771"/>
      <c r="W49" s="1771"/>
      <c r="X49" s="1771"/>
      <c r="Y49" s="1771"/>
    </row>
    <row r="50" spans="2:25" ht="15" customHeight="1" thickBot="1">
      <c r="B50" s="1454"/>
      <c r="C50" s="132">
        <v>1</v>
      </c>
      <c r="D50" s="1596" t="s">
        <v>920</v>
      </c>
      <c r="E50" s="1596"/>
      <c r="F50" s="1675"/>
      <c r="G50" s="1675"/>
      <c r="H50" s="1675"/>
      <c r="I50" s="1675"/>
      <c r="J50" s="1675"/>
      <c r="K50" s="1488" t="s">
        <v>2711</v>
      </c>
      <c r="L50" s="1472"/>
      <c r="P50" s="1440"/>
      <c r="Q50" s="132">
        <v>1</v>
      </c>
      <c r="R50" s="1596" t="s">
        <v>920</v>
      </c>
      <c r="S50" s="1596"/>
      <c r="T50" s="2202" t="str">
        <f>IF(F50="","",(F50))</f>
        <v/>
      </c>
      <c r="U50" s="2202"/>
      <c r="V50" s="2202"/>
      <c r="W50" s="2202"/>
      <c r="X50" s="2202"/>
      <c r="Y50" s="2202"/>
    </row>
    <row r="51" spans="2:25" ht="15" customHeight="1" thickTop="1" thickBot="1">
      <c r="B51" s="1454"/>
      <c r="C51" s="132">
        <v>2</v>
      </c>
      <c r="D51" s="1593" t="s">
        <v>988</v>
      </c>
      <c r="E51" s="1593"/>
      <c r="F51" s="1605"/>
      <c r="G51" s="1605"/>
      <c r="H51" s="1605"/>
      <c r="I51" s="2231" t="s">
        <v>2202</v>
      </c>
      <c r="J51" s="2231"/>
      <c r="K51" s="2231"/>
      <c r="L51" s="13"/>
      <c r="P51" s="1440"/>
      <c r="Q51" s="132">
        <v>2</v>
      </c>
      <c r="R51" s="1593" t="s">
        <v>988</v>
      </c>
      <c r="S51" s="1593"/>
      <c r="T51" s="2202" t="str">
        <f>IF(F51="","",(F51))</f>
        <v/>
      </c>
      <c r="U51" s="2202"/>
      <c r="V51" s="2202"/>
      <c r="W51" s="2202"/>
      <c r="X51" s="489" t="s">
        <v>921</v>
      </c>
      <c r="Y51" s="19" t="str">
        <f>IF(L51="","",(L51))</f>
        <v/>
      </c>
    </row>
    <row r="52" spans="2:25" ht="6" customHeight="1" thickTop="1">
      <c r="B52" s="1454"/>
      <c r="C52" s="21"/>
      <c r="D52" s="21"/>
      <c r="E52" s="21"/>
      <c r="F52" s="21"/>
      <c r="G52" s="21"/>
      <c r="H52" s="21"/>
      <c r="I52" s="21"/>
      <c r="J52" s="1438"/>
      <c r="K52" s="21"/>
      <c r="L52" s="21"/>
      <c r="P52" s="1440"/>
      <c r="Q52" s="21"/>
      <c r="R52" s="21"/>
      <c r="S52" s="21"/>
      <c r="T52" s="21"/>
      <c r="U52" s="21"/>
      <c r="V52" s="21"/>
      <c r="W52" s="21"/>
      <c r="X52" s="21"/>
      <c r="Y52" s="21"/>
    </row>
    <row r="53" spans="2:25" ht="12" customHeight="1">
      <c r="B53" s="1464" t="s">
        <v>185</v>
      </c>
      <c r="C53" s="1771" t="s">
        <v>271</v>
      </c>
      <c r="D53" s="1771"/>
      <c r="E53" s="1771"/>
      <c r="F53" s="1771"/>
      <c r="G53" s="1771"/>
      <c r="H53" s="1771"/>
      <c r="I53" s="1771"/>
      <c r="J53" s="1771"/>
      <c r="K53" s="1771"/>
      <c r="L53" s="1771"/>
      <c r="P53" s="1449" t="s">
        <v>111</v>
      </c>
      <c r="Q53" s="1771" t="s">
        <v>271</v>
      </c>
      <c r="R53" s="1771"/>
      <c r="S53" s="1771"/>
      <c r="T53" s="1771"/>
      <c r="U53" s="1771"/>
      <c r="V53" s="1771"/>
      <c r="W53" s="1771"/>
      <c r="X53" s="1771"/>
      <c r="Y53" s="1771"/>
    </row>
    <row r="54" spans="2:25" ht="15" customHeight="1" thickBot="1">
      <c r="B54" s="1454"/>
      <c r="C54" s="132">
        <v>1</v>
      </c>
      <c r="D54" s="1596" t="s">
        <v>920</v>
      </c>
      <c r="E54" s="1596"/>
      <c r="F54" s="1675"/>
      <c r="G54" s="1675"/>
      <c r="H54" s="1675"/>
      <c r="I54" s="1675"/>
      <c r="J54" s="1675"/>
      <c r="K54" s="1488" t="s">
        <v>2711</v>
      </c>
      <c r="L54" s="1472"/>
      <c r="P54" s="1440"/>
      <c r="Q54" s="132">
        <v>1</v>
      </c>
      <c r="R54" s="1596" t="s">
        <v>920</v>
      </c>
      <c r="S54" s="1596"/>
      <c r="T54" s="1617"/>
      <c r="U54" s="1617"/>
      <c r="V54" s="1617"/>
      <c r="W54" s="1617"/>
      <c r="X54" s="1617"/>
      <c r="Y54" s="1617"/>
    </row>
    <row r="55" spans="2:25" ht="15" customHeight="1" thickTop="1" thickBot="1">
      <c r="B55" s="1454"/>
      <c r="C55" s="132">
        <v>2</v>
      </c>
      <c r="D55" s="1593" t="s">
        <v>988</v>
      </c>
      <c r="E55" s="1593"/>
      <c r="F55" s="1605"/>
      <c r="G55" s="1605"/>
      <c r="H55" s="1605"/>
      <c r="I55" s="2231" t="s">
        <v>2202</v>
      </c>
      <c r="J55" s="2231"/>
      <c r="K55" s="2231"/>
      <c r="L55" s="13"/>
      <c r="P55" s="1440"/>
      <c r="Q55" s="132">
        <v>2</v>
      </c>
      <c r="R55" s="1593" t="s">
        <v>988</v>
      </c>
      <c r="S55" s="1593"/>
      <c r="T55" s="1617"/>
      <c r="U55" s="1617"/>
      <c r="V55" s="1617"/>
      <c r="W55" s="1617"/>
      <c r="X55" s="489" t="s">
        <v>921</v>
      </c>
      <c r="Y55" s="14"/>
    </row>
    <row r="56" spans="2:25" ht="6" customHeight="1" thickTop="1">
      <c r="B56" s="1454"/>
      <c r="C56" s="21"/>
      <c r="D56" s="21"/>
      <c r="E56" s="21"/>
      <c r="F56" s="21"/>
      <c r="G56" s="21"/>
      <c r="H56" s="21"/>
      <c r="I56" s="21"/>
      <c r="J56" s="1438"/>
      <c r="K56" s="21"/>
      <c r="L56" s="21"/>
      <c r="P56" s="1440"/>
      <c r="Q56" s="21"/>
      <c r="R56" s="21"/>
      <c r="S56" s="21"/>
      <c r="T56" s="21"/>
      <c r="U56" s="21"/>
      <c r="V56" s="21"/>
      <c r="W56" s="21"/>
      <c r="X56" s="21"/>
      <c r="Y56" s="21"/>
    </row>
    <row r="57" spans="2:25" ht="12" customHeight="1">
      <c r="B57" s="1464" t="s">
        <v>187</v>
      </c>
      <c r="C57" s="1771" t="s">
        <v>307</v>
      </c>
      <c r="D57" s="1771"/>
      <c r="E57" s="1771"/>
      <c r="F57" s="1771"/>
      <c r="G57" s="1771"/>
      <c r="H57" s="1771"/>
      <c r="I57" s="1771"/>
      <c r="J57" s="1771"/>
      <c r="K57" s="1771"/>
      <c r="L57" s="1771"/>
      <c r="P57" s="1449" t="s">
        <v>112</v>
      </c>
      <c r="Q57" s="1771" t="s">
        <v>307</v>
      </c>
      <c r="R57" s="1771"/>
      <c r="S57" s="1771"/>
      <c r="T57" s="1771"/>
      <c r="U57" s="1771"/>
      <c r="V57" s="1771"/>
      <c r="W57" s="1771"/>
      <c r="X57" s="1771"/>
      <c r="Y57" s="1771"/>
    </row>
    <row r="58" spans="2:25" ht="15" customHeight="1" thickBot="1">
      <c r="B58" s="1454"/>
      <c r="C58" s="132">
        <v>1</v>
      </c>
      <c r="D58" s="1596" t="s">
        <v>920</v>
      </c>
      <c r="E58" s="1596"/>
      <c r="F58" s="1675"/>
      <c r="G58" s="1675"/>
      <c r="H58" s="1675"/>
      <c r="I58" s="1675"/>
      <c r="J58" s="1675"/>
      <c r="K58" s="1488" t="s">
        <v>2711</v>
      </c>
      <c r="L58" s="1472"/>
      <c r="P58" s="1440"/>
      <c r="Q58" s="132">
        <v>1</v>
      </c>
      <c r="R58" s="1596" t="s">
        <v>920</v>
      </c>
      <c r="S58" s="1596"/>
      <c r="T58" s="1617"/>
      <c r="U58" s="1617"/>
      <c r="V58" s="1617"/>
      <c r="W58" s="1617"/>
      <c r="X58" s="1617"/>
      <c r="Y58" s="1617"/>
    </row>
    <row r="59" spans="2:25" ht="15" customHeight="1" thickTop="1" thickBot="1">
      <c r="B59" s="1454"/>
      <c r="C59" s="132">
        <v>2</v>
      </c>
      <c r="D59" s="1593" t="s">
        <v>988</v>
      </c>
      <c r="E59" s="1593"/>
      <c r="F59" s="1605"/>
      <c r="G59" s="1605"/>
      <c r="H59" s="1605"/>
      <c r="I59" s="2231" t="s">
        <v>2202</v>
      </c>
      <c r="J59" s="2231"/>
      <c r="K59" s="2231"/>
      <c r="L59" s="13"/>
      <c r="P59" s="1440"/>
      <c r="Q59" s="132">
        <v>2</v>
      </c>
      <c r="R59" s="1593" t="s">
        <v>988</v>
      </c>
      <c r="S59" s="1593"/>
      <c r="T59" s="1617"/>
      <c r="U59" s="1617"/>
      <c r="V59" s="1617"/>
      <c r="W59" s="1617"/>
      <c r="X59" s="489" t="s">
        <v>921</v>
      </c>
      <c r="Y59" s="14"/>
    </row>
    <row r="60" spans="2:25" ht="6" customHeight="1" thickTop="1">
      <c r="B60" s="1454"/>
      <c r="C60" s="21"/>
      <c r="D60" s="21"/>
      <c r="E60" s="21"/>
      <c r="F60" s="21"/>
      <c r="G60" s="21"/>
      <c r="H60" s="21"/>
      <c r="I60" s="21"/>
      <c r="J60" s="1438"/>
      <c r="K60" s="21"/>
      <c r="L60" s="21"/>
      <c r="P60" s="1440"/>
      <c r="Q60" s="21"/>
      <c r="R60" s="21"/>
      <c r="S60" s="21"/>
      <c r="T60" s="21"/>
      <c r="U60" s="21"/>
      <c r="V60" s="21"/>
      <c r="W60" s="21"/>
      <c r="X60" s="21"/>
      <c r="Y60" s="21"/>
    </row>
    <row r="61" spans="2:25" ht="12" customHeight="1">
      <c r="B61" s="1464" t="s">
        <v>1459</v>
      </c>
      <c r="C61" s="1771" t="s">
        <v>103</v>
      </c>
      <c r="D61" s="1771"/>
      <c r="E61" s="1771"/>
      <c r="F61" s="1771"/>
      <c r="G61" s="1771"/>
      <c r="H61" s="1771"/>
      <c r="I61" s="1771"/>
      <c r="J61" s="1771"/>
      <c r="K61" s="1771"/>
      <c r="L61" s="1771"/>
      <c r="P61" s="1449" t="s">
        <v>185</v>
      </c>
      <c r="Q61" s="1771" t="s">
        <v>103</v>
      </c>
      <c r="R61" s="1771"/>
      <c r="S61" s="1771"/>
      <c r="T61" s="1771"/>
      <c r="U61" s="1771"/>
      <c r="V61" s="1771"/>
      <c r="W61" s="1771"/>
      <c r="X61" s="1771"/>
      <c r="Y61" s="1771"/>
    </row>
    <row r="62" spans="2:25" ht="15" customHeight="1" thickBot="1">
      <c r="B62" s="4"/>
      <c r="C62" s="132">
        <v>1</v>
      </c>
      <c r="D62" s="1596" t="s">
        <v>920</v>
      </c>
      <c r="E62" s="1596"/>
      <c r="F62" s="2232" t="str">
        <f>IF('FORM 1040-7'!I19="","",('FORM 1040-7'!I19))</f>
        <v/>
      </c>
      <c r="G62" s="2232"/>
      <c r="H62" s="2232"/>
      <c r="I62" s="2232"/>
      <c r="J62" s="2232"/>
      <c r="K62" s="1488" t="s">
        <v>2711</v>
      </c>
      <c r="L62" s="1472"/>
      <c r="P62" s="1440"/>
      <c r="Q62" s="132">
        <v>1</v>
      </c>
      <c r="R62" s="1596" t="s">
        <v>920</v>
      </c>
      <c r="S62" s="1596"/>
      <c r="T62" s="1617"/>
      <c r="U62" s="1617"/>
      <c r="V62" s="1617"/>
      <c r="W62" s="1617"/>
      <c r="X62" s="1617"/>
      <c r="Y62" s="1617"/>
    </row>
    <row r="63" spans="2:25" ht="15" customHeight="1" thickTop="1" thickBot="1">
      <c r="B63" s="4"/>
      <c r="C63" s="132">
        <v>2</v>
      </c>
      <c r="D63" s="1593" t="s">
        <v>988</v>
      </c>
      <c r="E63" s="1593"/>
      <c r="F63" s="2143" t="str">
        <f>IF('FORM 1040-7'!I21="","",('FORM 1040-7'!I21))</f>
        <v/>
      </c>
      <c r="G63" s="2143"/>
      <c r="H63" s="2143"/>
      <c r="I63" s="2231" t="s">
        <v>2202</v>
      </c>
      <c r="J63" s="2231"/>
      <c r="K63" s="2231"/>
      <c r="L63" s="13"/>
      <c r="P63" s="1440"/>
      <c r="Q63" s="132">
        <v>2</v>
      </c>
      <c r="R63" s="1593" t="s">
        <v>988</v>
      </c>
      <c r="S63" s="1593"/>
      <c r="T63" s="1617"/>
      <c r="U63" s="1617"/>
      <c r="V63" s="1617"/>
      <c r="W63" s="1617"/>
      <c r="X63" s="489" t="s">
        <v>921</v>
      </c>
      <c r="Y63" s="14"/>
    </row>
    <row r="64" spans="2:25" ht="6" customHeight="1" thickTop="1">
      <c r="B64" s="4"/>
      <c r="C64" s="21"/>
      <c r="D64" s="21"/>
      <c r="E64" s="21"/>
      <c r="F64" s="21"/>
      <c r="G64" s="21"/>
      <c r="H64" s="21"/>
      <c r="I64" s="21"/>
      <c r="J64" s="1438"/>
      <c r="K64" s="21"/>
      <c r="L64" s="21"/>
      <c r="P64" s="1440"/>
      <c r="Q64" s="21"/>
      <c r="R64" s="21"/>
      <c r="S64" s="21"/>
      <c r="T64" s="21"/>
      <c r="U64" s="21"/>
      <c r="V64" s="21"/>
      <c r="W64" s="21"/>
      <c r="X64" s="21"/>
      <c r="Y64" s="21"/>
    </row>
    <row r="65" spans="1:29" ht="12" customHeight="1">
      <c r="B65" s="85" t="s">
        <v>1460</v>
      </c>
      <c r="C65" s="1771" t="s">
        <v>309</v>
      </c>
      <c r="D65" s="1771"/>
      <c r="E65" s="1771"/>
      <c r="F65" s="1771"/>
      <c r="G65" s="1771"/>
      <c r="H65" s="1771"/>
      <c r="I65" s="1771"/>
      <c r="J65" s="1771"/>
      <c r="K65" s="1771"/>
      <c r="L65" s="1771"/>
      <c r="P65" s="1449" t="s">
        <v>187</v>
      </c>
      <c r="Q65" s="1771" t="s">
        <v>309</v>
      </c>
      <c r="R65" s="1771"/>
      <c r="S65" s="1771"/>
      <c r="T65" s="1771"/>
      <c r="U65" s="1771"/>
      <c r="V65" s="1771"/>
      <c r="W65" s="1771"/>
      <c r="X65" s="1771"/>
      <c r="Y65" s="1771"/>
    </row>
    <row r="66" spans="1:29" ht="15" customHeight="1" thickBot="1">
      <c r="B66" s="4"/>
      <c r="C66" s="132">
        <v>1</v>
      </c>
      <c r="D66" s="1596" t="s">
        <v>920</v>
      </c>
      <c r="E66" s="1596"/>
      <c r="F66" s="1675"/>
      <c r="G66" s="1675"/>
      <c r="H66" s="1675"/>
      <c r="I66" s="1675"/>
      <c r="J66" s="1675"/>
      <c r="K66" s="1488" t="s">
        <v>2711</v>
      </c>
      <c r="L66" s="1472"/>
      <c r="P66" s="1440"/>
      <c r="Q66" s="132">
        <v>1</v>
      </c>
      <c r="R66" s="1596" t="s">
        <v>920</v>
      </c>
      <c r="S66" s="1596"/>
      <c r="T66" s="1617"/>
      <c r="U66" s="1617"/>
      <c r="V66" s="1617"/>
      <c r="W66" s="1617"/>
      <c r="X66" s="1617"/>
      <c r="Y66" s="1617"/>
    </row>
    <row r="67" spans="1:29" ht="15" customHeight="1" thickTop="1" thickBot="1">
      <c r="B67" s="4"/>
      <c r="C67" s="132">
        <v>2</v>
      </c>
      <c r="D67" s="1593" t="s">
        <v>988</v>
      </c>
      <c r="E67" s="1593"/>
      <c r="F67" s="1605"/>
      <c r="G67" s="1605"/>
      <c r="H67" s="1605"/>
      <c r="I67" s="2231" t="s">
        <v>2202</v>
      </c>
      <c r="J67" s="2231"/>
      <c r="K67" s="2231"/>
      <c r="L67" s="13"/>
      <c r="P67" s="1440"/>
      <c r="Q67" s="132">
        <v>2</v>
      </c>
      <c r="R67" s="1593" t="s">
        <v>988</v>
      </c>
      <c r="S67" s="1593"/>
      <c r="T67" s="1617"/>
      <c r="U67" s="1617"/>
      <c r="V67" s="1617"/>
      <c r="W67" s="1617"/>
      <c r="X67" s="489" t="s">
        <v>921</v>
      </c>
      <c r="Y67" s="14"/>
    </row>
    <row r="68" spans="1:29" ht="6" customHeight="1" thickTop="1">
      <c r="B68" s="4"/>
      <c r="C68" s="21"/>
      <c r="D68" s="21"/>
      <c r="E68" s="21"/>
      <c r="F68" s="21"/>
      <c r="G68" s="21"/>
      <c r="H68" s="21"/>
      <c r="I68" s="21"/>
      <c r="J68" s="1438"/>
      <c r="K68" s="21"/>
      <c r="L68" s="21"/>
      <c r="P68" s="1440"/>
      <c r="Q68" s="21"/>
      <c r="R68" s="21"/>
      <c r="S68" s="21"/>
      <c r="T68" s="21"/>
      <c r="U68" s="21"/>
      <c r="V68" s="21"/>
      <c r="W68" s="21"/>
      <c r="X68" s="21"/>
      <c r="Y68" s="21"/>
    </row>
    <row r="69" spans="1:29" s="1440" customFormat="1" ht="12" customHeight="1">
      <c r="A69" s="1439"/>
      <c r="B69" s="1449" t="s">
        <v>2713</v>
      </c>
      <c r="C69" s="1771" t="s">
        <v>2712</v>
      </c>
      <c r="D69" s="1771"/>
      <c r="E69" s="1771"/>
      <c r="F69" s="1771"/>
      <c r="G69" s="1771"/>
      <c r="H69" s="1771"/>
      <c r="I69" s="1771"/>
      <c r="J69" s="1771"/>
      <c r="K69" s="1771"/>
      <c r="L69" s="1771"/>
      <c r="N69" s="6"/>
      <c r="O69" s="1439"/>
      <c r="P69" s="1449" t="s">
        <v>1459</v>
      </c>
      <c r="Q69" s="1771" t="s">
        <v>2712</v>
      </c>
      <c r="R69" s="1771"/>
      <c r="S69" s="1771"/>
      <c r="T69" s="1771"/>
      <c r="U69" s="1771"/>
      <c r="V69" s="1771"/>
      <c r="W69" s="1771"/>
      <c r="X69" s="1771"/>
      <c r="Y69" s="1771"/>
      <c r="Z69" s="1771"/>
      <c r="AC69" s="6"/>
    </row>
    <row r="70" spans="1:29" s="1440" customFormat="1" ht="15" customHeight="1" thickBot="1">
      <c r="A70" s="1439"/>
      <c r="C70" s="132">
        <v>1</v>
      </c>
      <c r="D70" s="1596" t="s">
        <v>920</v>
      </c>
      <c r="E70" s="1596"/>
      <c r="F70" s="1675"/>
      <c r="G70" s="1675"/>
      <c r="H70" s="1675"/>
      <c r="I70" s="1675"/>
      <c r="J70" s="1675"/>
      <c r="K70" s="1488" t="s">
        <v>2711</v>
      </c>
      <c r="L70" s="1472"/>
      <c r="N70" s="6"/>
      <c r="O70" s="1439"/>
      <c r="Q70" s="132">
        <v>1</v>
      </c>
      <c r="R70" s="1596" t="s">
        <v>920</v>
      </c>
      <c r="S70" s="1596"/>
      <c r="T70" s="1617"/>
      <c r="U70" s="1617"/>
      <c r="V70" s="1617"/>
      <c r="W70" s="1617"/>
      <c r="X70" s="1617"/>
      <c r="Y70" s="1617"/>
      <c r="Z70" s="1454"/>
      <c r="AA70" s="1454"/>
      <c r="AC70" s="6"/>
    </row>
    <row r="71" spans="1:29" s="1440" customFormat="1" ht="15" customHeight="1" thickTop="1" thickBot="1">
      <c r="A71" s="1439"/>
      <c r="C71" s="132">
        <v>2</v>
      </c>
      <c r="D71" s="1593" t="s">
        <v>988</v>
      </c>
      <c r="E71" s="1593"/>
      <c r="F71" s="1605"/>
      <c r="G71" s="1605"/>
      <c r="H71" s="1605"/>
      <c r="I71" s="2231" t="s">
        <v>2202</v>
      </c>
      <c r="J71" s="2231"/>
      <c r="K71" s="2231"/>
      <c r="L71" s="1441"/>
      <c r="N71" s="6"/>
      <c r="O71" s="1439"/>
      <c r="Q71" s="132">
        <v>2</v>
      </c>
      <c r="R71" s="1593" t="s">
        <v>988</v>
      </c>
      <c r="S71" s="1593"/>
      <c r="T71" s="1617"/>
      <c r="U71" s="1617"/>
      <c r="V71" s="1617"/>
      <c r="W71" s="1617"/>
      <c r="X71" s="1099" t="s">
        <v>921</v>
      </c>
      <c r="Y71" s="1455"/>
      <c r="Z71" s="1454"/>
      <c r="AA71" s="1454"/>
      <c r="AC71" s="6"/>
    </row>
    <row r="72" spans="1:29" s="1440" customFormat="1" ht="6" customHeight="1" thickTop="1">
      <c r="A72" s="1439"/>
      <c r="C72" s="1438"/>
      <c r="D72" s="1438"/>
      <c r="E72" s="1438"/>
      <c r="F72" s="1438"/>
      <c r="G72" s="1438"/>
      <c r="H72" s="1438"/>
      <c r="I72" s="1438"/>
      <c r="J72" s="1438"/>
      <c r="K72" s="1438"/>
      <c r="L72" s="1438"/>
      <c r="N72" s="6"/>
      <c r="O72" s="1439"/>
      <c r="Q72" s="1438"/>
      <c r="R72" s="1438"/>
      <c r="S72" s="1438"/>
      <c r="T72" s="1438"/>
      <c r="U72" s="1438"/>
      <c r="V72" s="1438"/>
      <c r="W72" s="1438"/>
      <c r="X72" s="1438"/>
      <c r="Y72" s="1438"/>
      <c r="Z72" s="1438"/>
      <c r="AC72" s="6"/>
    </row>
    <row r="73" spans="1:29" ht="15" customHeight="1">
      <c r="C73" s="1736" t="s">
        <v>2710</v>
      </c>
      <c r="D73" s="1736"/>
      <c r="E73" s="1736"/>
      <c r="F73" s="1736"/>
      <c r="G73" s="1736"/>
      <c r="H73" s="1736"/>
      <c r="I73" s="1736"/>
      <c r="J73" s="1736"/>
      <c r="K73" s="1736"/>
      <c r="L73" s="1736"/>
    </row>
    <row r="74" spans="1:29" ht="26.1" customHeight="1">
      <c r="A74" s="1439"/>
      <c r="B74" s="1437"/>
      <c r="C74" s="1736" t="s">
        <v>2203</v>
      </c>
      <c r="D74" s="1736"/>
      <c r="E74" s="1736"/>
      <c r="F74" s="1736"/>
      <c r="G74" s="1736"/>
      <c r="H74" s="1736"/>
      <c r="I74" s="1736"/>
      <c r="J74" s="1736"/>
      <c r="K74" s="1736"/>
      <c r="L74" s="1736"/>
    </row>
  </sheetData>
  <sheetProtection algorithmName="SHA-512" hashValue="jPtVBXC/oRdfrMNq1ljMDt1i59d4XFX6OMXCdQVp31dHMDFyR67aMR7O9miGsB5Evo0sNdrg1XVO+1JEz/8Tbg==" saltValue="JjHSGKUS7g3SLZpGr/V5ow==" spinCount="100000" sheet="1" objects="1" scenarios="1"/>
  <mergeCells count="191">
    <mergeCell ref="C73:L73"/>
    <mergeCell ref="Q65:Y65"/>
    <mergeCell ref="R43:S43"/>
    <mergeCell ref="D70:E70"/>
    <mergeCell ref="T67:W67"/>
    <mergeCell ref="R67:S67"/>
    <mergeCell ref="R66:S66"/>
    <mergeCell ref="D51:E51"/>
    <mergeCell ref="D54:E54"/>
    <mergeCell ref="I51:K51"/>
    <mergeCell ref="D50:E50"/>
    <mergeCell ref="I43:K43"/>
    <mergeCell ref="D47:E47"/>
    <mergeCell ref="F47:H47"/>
    <mergeCell ref="C53:L53"/>
    <mergeCell ref="D67:E67"/>
    <mergeCell ref="I67:K67"/>
    <mergeCell ref="T54:Y54"/>
    <mergeCell ref="T55:W55"/>
    <mergeCell ref="F67:H67"/>
    <mergeCell ref="F59:H59"/>
    <mergeCell ref="F63:H63"/>
    <mergeCell ref="D66:E66"/>
    <mergeCell ref="D58:E58"/>
    <mergeCell ref="C65:L65"/>
    <mergeCell ref="F35:H35"/>
    <mergeCell ref="F43:H43"/>
    <mergeCell ref="I39:K39"/>
    <mergeCell ref="I63:K63"/>
    <mergeCell ref="F55:H55"/>
    <mergeCell ref="D62:E62"/>
    <mergeCell ref="D63:E63"/>
    <mergeCell ref="D42:E42"/>
    <mergeCell ref="D43:E43"/>
    <mergeCell ref="C49:L49"/>
    <mergeCell ref="D46:E46"/>
    <mergeCell ref="C45:L45"/>
    <mergeCell ref="T66:Y66"/>
    <mergeCell ref="T59:W59"/>
    <mergeCell ref="T62:Y62"/>
    <mergeCell ref="T63:W63"/>
    <mergeCell ref="R62:S62"/>
    <mergeCell ref="R63:S63"/>
    <mergeCell ref="I19:K19"/>
    <mergeCell ref="I31:K31"/>
    <mergeCell ref="F19:H19"/>
    <mergeCell ref="F31:H31"/>
    <mergeCell ref="I27:K27"/>
    <mergeCell ref="C33:L33"/>
    <mergeCell ref="Q61:Y61"/>
    <mergeCell ref="R39:S39"/>
    <mergeCell ref="T38:Y38"/>
    <mergeCell ref="T50:Y50"/>
    <mergeCell ref="C61:L61"/>
    <mergeCell ref="R50:S50"/>
    <mergeCell ref="R51:S51"/>
    <mergeCell ref="R54:S54"/>
    <mergeCell ref="R55:S55"/>
    <mergeCell ref="D55:E55"/>
    <mergeCell ref="C57:L57"/>
    <mergeCell ref="C41:L41"/>
    <mergeCell ref="C5:L5"/>
    <mergeCell ref="D6:E6"/>
    <mergeCell ref="F6:J6"/>
    <mergeCell ref="D14:E14"/>
    <mergeCell ref="D15:E15"/>
    <mergeCell ref="D19:E19"/>
    <mergeCell ref="R59:S59"/>
    <mergeCell ref="T51:W51"/>
    <mergeCell ref="T42:Y42"/>
    <mergeCell ref="T43:W43"/>
    <mergeCell ref="T47:W47"/>
    <mergeCell ref="Q45:Y45"/>
    <mergeCell ref="T58:Y58"/>
    <mergeCell ref="R58:S58"/>
    <mergeCell ref="Q57:Y57"/>
    <mergeCell ref="R46:S46"/>
    <mergeCell ref="T46:Y46"/>
    <mergeCell ref="R42:S42"/>
    <mergeCell ref="D59:E59"/>
    <mergeCell ref="D35:E35"/>
    <mergeCell ref="I55:K55"/>
    <mergeCell ref="I59:K59"/>
    <mergeCell ref="F51:H51"/>
    <mergeCell ref="D30:E30"/>
    <mergeCell ref="D31:E31"/>
    <mergeCell ref="I35:K35"/>
    <mergeCell ref="C9:L9"/>
    <mergeCell ref="D22:E22"/>
    <mergeCell ref="D23:E23"/>
    <mergeCell ref="D26:E26"/>
    <mergeCell ref="D7:E7"/>
    <mergeCell ref="F7:H7"/>
    <mergeCell ref="I7:K7"/>
    <mergeCell ref="D11:E11"/>
    <mergeCell ref="F11:H11"/>
    <mergeCell ref="I11:K11"/>
    <mergeCell ref="F15:H15"/>
    <mergeCell ref="F23:H23"/>
    <mergeCell ref="C21:L21"/>
    <mergeCell ref="C25:L25"/>
    <mergeCell ref="B3:L3"/>
    <mergeCell ref="C13:L13"/>
    <mergeCell ref="D18:E18"/>
    <mergeCell ref="D27:E27"/>
    <mergeCell ref="D34:E34"/>
    <mergeCell ref="F27:H27"/>
    <mergeCell ref="D39:E39"/>
    <mergeCell ref="F39:H39"/>
    <mergeCell ref="Q13:Y13"/>
    <mergeCell ref="T39:W39"/>
    <mergeCell ref="T18:Y18"/>
    <mergeCell ref="T19:W19"/>
    <mergeCell ref="R31:S31"/>
    <mergeCell ref="T23:W23"/>
    <mergeCell ref="T27:W27"/>
    <mergeCell ref="T34:Y34"/>
    <mergeCell ref="T35:W35"/>
    <mergeCell ref="R27:S27"/>
    <mergeCell ref="R34:S34"/>
    <mergeCell ref="T30:Y30"/>
    <mergeCell ref="R38:S38"/>
    <mergeCell ref="T31:W31"/>
    <mergeCell ref="Q37:Y37"/>
    <mergeCell ref="R35:S35"/>
    <mergeCell ref="P3:Y3"/>
    <mergeCell ref="T26:Y26"/>
    <mergeCell ref="R26:S26"/>
    <mergeCell ref="R22:S22"/>
    <mergeCell ref="R23:S23"/>
    <mergeCell ref="R14:S14"/>
    <mergeCell ref="R15:S15"/>
    <mergeCell ref="T14:Y14"/>
    <mergeCell ref="T22:Y22"/>
    <mergeCell ref="T15:W15"/>
    <mergeCell ref="R19:S19"/>
    <mergeCell ref="T6:Y6"/>
    <mergeCell ref="R7:S7"/>
    <mergeCell ref="T7:W7"/>
    <mergeCell ref="R11:S11"/>
    <mergeCell ref="T11:W11"/>
    <mergeCell ref="Q5:Y5"/>
    <mergeCell ref="R6:S6"/>
    <mergeCell ref="C74:L74"/>
    <mergeCell ref="F14:J14"/>
    <mergeCell ref="F18:J18"/>
    <mergeCell ref="F22:J22"/>
    <mergeCell ref="F26:J26"/>
    <mergeCell ref="F30:J30"/>
    <mergeCell ref="F34:J34"/>
    <mergeCell ref="F38:J38"/>
    <mergeCell ref="F42:J42"/>
    <mergeCell ref="F46:J46"/>
    <mergeCell ref="F50:J50"/>
    <mergeCell ref="F54:J54"/>
    <mergeCell ref="F58:J58"/>
    <mergeCell ref="F62:J62"/>
    <mergeCell ref="F66:J66"/>
    <mergeCell ref="C69:L69"/>
    <mergeCell ref="I15:K15"/>
    <mergeCell ref="I23:K23"/>
    <mergeCell ref="F70:J70"/>
    <mergeCell ref="I47:K47"/>
    <mergeCell ref="C17:L17"/>
    <mergeCell ref="C29:L29"/>
    <mergeCell ref="C37:L37"/>
    <mergeCell ref="D38:E38"/>
    <mergeCell ref="R70:S70"/>
    <mergeCell ref="D71:E71"/>
    <mergeCell ref="F71:H71"/>
    <mergeCell ref="I71:K71"/>
    <mergeCell ref="R71:S71"/>
    <mergeCell ref="Q69:Z69"/>
    <mergeCell ref="T70:Y70"/>
    <mergeCell ref="T71:W71"/>
    <mergeCell ref="Q9:Y9"/>
    <mergeCell ref="D10:E10"/>
    <mergeCell ref="F10:J10"/>
    <mergeCell ref="R10:S10"/>
    <mergeCell ref="T10:Y10"/>
    <mergeCell ref="R47:S47"/>
    <mergeCell ref="Q17:Y17"/>
    <mergeCell ref="Q21:Y21"/>
    <mergeCell ref="Q25:Y25"/>
    <mergeCell ref="Q29:Y29"/>
    <mergeCell ref="Q53:Y53"/>
    <mergeCell ref="R18:S18"/>
    <mergeCell ref="Q33:Y33"/>
    <mergeCell ref="Q41:Y41"/>
    <mergeCell ref="Q49:Y49"/>
    <mergeCell ref="R30:S30"/>
  </mergeCells>
  <phoneticPr fontId="0" type="noConversion"/>
  <dataValidations count="3">
    <dataValidation type="list" allowBlank="1" showInputMessage="1" showErrorMessage="1" sqref="L67 L47 Y47 L39 L31 Y23 L27 L35 L15 L23 Y27 Y35 Y15 Y19 L19 Y31 Y59 Y55 Y51 Y43 Y63 Y67 L59 L55 L51 Y39 L63 L71 Y11 L7 Y7 L11 Y71" xr:uid="{00000000-0002-0000-2900-000000000000}">
      <formula1>$AA$3:$AA$4</formula1>
    </dataValidation>
    <dataValidation type="textLength" allowBlank="1" showInputMessage="1" showErrorMessage="1" error="Cannot exceed 50 characters" sqref="F18:K18 F6:K6 F10:K10 F14:K14 F22:K22 F26:K26 F30:K30 F34:K34 F38:K38 F42:K42 F46:K46 F50:K50 F54:K54 F58:K58 F62:K62 F66:K66 F70:K70" xr:uid="{F1E4B850-ED26-49D9-B8C7-80E58C34B66D}">
      <formula1>0</formula1>
      <formula2>50</formula2>
    </dataValidation>
    <dataValidation type="list" allowBlank="1" showInputMessage="1" showErrorMessage="1" error="Cannot exceed 50 characters" sqref="L14 L10 L6 L18 L22 L26 L30 L34 L38 L42 L46 L50 L54 L58 L62 L66 L70" xr:uid="{99E3DA97-D923-420A-A657-54A2905BF140}">
      <formula1>$AB$17:$AB$20</formula1>
    </dataValidation>
  </dataValidations>
  <pageMargins left="0.75" right="0.5" top="0.5" bottom="0.75" header="0" footer="0.5"/>
  <pageSetup scale="80" firstPageNumber="26" orientation="portrait" verticalDpi="300" r:id="rId1"/>
  <headerFooter alignWithMargins="0">
    <oddFooter>&amp;C&amp;A&amp;R&amp;D &amp;T</oddFooter>
  </headerFooter>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38">
    <pageSetUpPr fitToPage="1"/>
  </sheetPr>
  <dimension ref="A1:R118"/>
  <sheetViews>
    <sheetView workbookViewId="0"/>
  </sheetViews>
  <sheetFormatPr defaultColWidth="9.7109375" defaultRowHeight="12.75"/>
  <cols>
    <col min="1" max="1" width="6.7109375" style="12" customWidth="1"/>
    <col min="2" max="2" width="2.7109375" style="202" customWidth="1"/>
    <col min="3" max="3" width="3.42578125" style="1045" bestFit="1" customWidth="1"/>
    <col min="4" max="4" width="15.7109375" style="202" customWidth="1"/>
    <col min="5" max="5" width="10.7109375" style="202" customWidth="1"/>
    <col min="6" max="8" width="11.7109375" style="202" customWidth="1"/>
    <col min="9" max="9" width="1.7109375" style="202" customWidth="1"/>
    <col min="10" max="10" width="16.7109375" style="202" customWidth="1"/>
    <col min="11" max="11" width="8.7109375" style="202" customWidth="1"/>
    <col min="12" max="12" width="15.7109375" style="202" customWidth="1"/>
    <col min="13" max="13" width="10.7109375" style="202" customWidth="1"/>
    <col min="14" max="14" width="5.7109375" style="270" customWidth="1"/>
    <col min="15" max="15" width="10.7109375" style="202" hidden="1" customWidth="1"/>
    <col min="16" max="16" width="26.42578125" style="4" hidden="1" customWidth="1"/>
    <col min="17" max="17" width="9.7109375" style="4" hidden="1" customWidth="1"/>
    <col min="18" max="18" width="5.7109375" style="270" customWidth="1"/>
    <col min="19" max="16384" width="9.7109375" style="4"/>
  </cols>
  <sheetData>
    <row r="1" spans="1:18" s="814" customFormat="1">
      <c r="A1" s="1302" t="str">
        <f>IF('FORM 1040-1'!D15="","",'FORM 1040-1'!D15)</f>
        <v/>
      </c>
      <c r="B1" s="1306"/>
      <c r="C1" s="1306"/>
      <c r="D1" s="1306"/>
      <c r="E1" s="1306"/>
      <c r="F1" s="1306"/>
      <c r="G1" s="1306"/>
      <c r="H1" s="1306"/>
      <c r="I1" s="1306"/>
      <c r="J1" s="1306"/>
      <c r="K1" s="1306"/>
      <c r="L1" s="1294" t="str">
        <f>IF('FORM 1040-1'!$E$12="","",'FORM 1040-1'!$E$12)</f>
        <v/>
      </c>
      <c r="M1" s="802"/>
      <c r="N1" s="270"/>
      <c r="O1" s="802"/>
      <c r="P1" s="22">
        <v>2021</v>
      </c>
      <c r="Q1" s="22" t="b">
        <v>1</v>
      </c>
      <c r="R1" s="270"/>
    </row>
    <row r="2" spans="1:18" s="814" customFormat="1">
      <c r="A2" s="801"/>
      <c r="B2" s="802"/>
      <c r="C2" s="1045"/>
      <c r="D2" s="802"/>
      <c r="E2" s="802"/>
      <c r="F2" s="802"/>
      <c r="G2" s="802"/>
      <c r="H2" s="802"/>
      <c r="I2" s="802"/>
      <c r="J2" s="802"/>
      <c r="K2" s="802"/>
      <c r="L2" s="802"/>
      <c r="M2" s="802"/>
      <c r="N2" s="270"/>
      <c r="O2" s="802"/>
      <c r="P2" s="22">
        <v>2022</v>
      </c>
      <c r="Q2" s="22" t="b">
        <v>0</v>
      </c>
      <c r="R2" s="270"/>
    </row>
    <row r="3" spans="1:18" ht="26.1" customHeight="1" thickBot="1">
      <c r="A3" s="81" t="s">
        <v>922</v>
      </c>
      <c r="B3" s="1656" t="s">
        <v>1499</v>
      </c>
      <c r="C3" s="1656"/>
      <c r="D3" s="1656"/>
      <c r="E3" s="1656"/>
      <c r="F3" s="1656"/>
      <c r="G3" s="1656"/>
      <c r="H3" s="1656"/>
      <c r="I3" s="1656"/>
      <c r="J3" s="1656"/>
      <c r="K3" s="1656"/>
      <c r="L3" s="1656"/>
    </row>
    <row r="4" spans="1:18" ht="15" customHeight="1" thickTop="1" thickBot="1">
      <c r="D4" s="21"/>
      <c r="E4" s="21"/>
      <c r="F4" s="305"/>
      <c r="G4" s="305"/>
      <c r="H4" s="305"/>
      <c r="I4" s="305"/>
      <c r="J4" s="305"/>
      <c r="K4" s="305"/>
      <c r="L4" s="233" t="s">
        <v>296</v>
      </c>
      <c r="M4" s="40"/>
      <c r="Q4" s="1036"/>
    </row>
    <row r="5" spans="1:18" ht="15.95" customHeight="1" thickTop="1" thickBot="1">
      <c r="B5" s="85" t="s">
        <v>53</v>
      </c>
      <c r="C5" s="1777" t="s">
        <v>12</v>
      </c>
      <c r="D5" s="1778"/>
      <c r="E5" s="1778"/>
      <c r="F5" s="1778"/>
      <c r="G5" s="1778"/>
      <c r="H5" s="1778"/>
      <c r="I5" s="1778"/>
      <c r="J5" s="1778"/>
      <c r="K5" s="1779"/>
      <c r="L5" s="70"/>
      <c r="M5" s="40"/>
      <c r="Q5" s="1036"/>
    </row>
    <row r="6" spans="1:18" ht="15.95" customHeight="1" thickTop="1" thickBot="1">
      <c r="B6" s="85" t="s">
        <v>54</v>
      </c>
      <c r="C6" s="1777" t="s">
        <v>13</v>
      </c>
      <c r="D6" s="1778"/>
      <c r="E6" s="1778"/>
      <c r="F6" s="1778"/>
      <c r="G6" s="1778"/>
      <c r="H6" s="1778"/>
      <c r="I6" s="1778"/>
      <c r="J6" s="1778"/>
      <c r="K6" s="1779"/>
      <c r="L6" s="237"/>
      <c r="M6" s="40"/>
      <c r="Q6" s="1036"/>
    </row>
    <row r="7" spans="1:18" ht="15.95" customHeight="1" thickTop="1" thickBot="1">
      <c r="B7" s="1056" t="s">
        <v>55</v>
      </c>
      <c r="C7" s="2012" t="s">
        <v>2399</v>
      </c>
      <c r="D7" s="2019"/>
      <c r="E7" s="2019"/>
      <c r="F7" s="2019"/>
      <c r="G7" s="2019"/>
      <c r="H7" s="2019"/>
      <c r="I7" s="2019"/>
      <c r="J7" s="2019"/>
      <c r="K7" s="2020"/>
      <c r="L7" s="237"/>
      <c r="M7" s="40"/>
      <c r="Q7" s="1036"/>
    </row>
    <row r="8" spans="1:18" s="1044" customFormat="1" ht="15.95" customHeight="1" thickTop="1" thickBot="1">
      <c r="A8" s="1038"/>
      <c r="B8" s="1056" t="s">
        <v>56</v>
      </c>
      <c r="C8" s="1777" t="s">
        <v>2147</v>
      </c>
      <c r="D8" s="1778"/>
      <c r="E8" s="1778"/>
      <c r="F8" s="1778"/>
      <c r="G8" s="1778"/>
      <c r="H8" s="1778"/>
      <c r="I8" s="1778"/>
      <c r="J8" s="1778"/>
      <c r="K8" s="1779"/>
      <c r="L8" s="237"/>
      <c r="M8" s="1061"/>
      <c r="N8" s="270"/>
      <c r="O8" s="1045"/>
      <c r="Q8" s="1057"/>
      <c r="R8" s="270"/>
    </row>
    <row r="9" spans="1:18" s="956" customFormat="1" ht="15.95" customHeight="1" thickTop="1" thickBot="1">
      <c r="A9" s="955"/>
      <c r="B9" s="958" t="s">
        <v>105</v>
      </c>
      <c r="C9" s="1777" t="s">
        <v>14</v>
      </c>
      <c r="D9" s="1778"/>
      <c r="E9" s="1778"/>
      <c r="F9" s="1778"/>
      <c r="G9" s="1778"/>
      <c r="H9" s="1778"/>
      <c r="I9" s="1778"/>
      <c r="J9" s="1778"/>
      <c r="K9" s="1779"/>
      <c r="L9" s="237"/>
      <c r="M9" s="959"/>
      <c r="N9" s="270"/>
      <c r="O9" s="957"/>
      <c r="Q9" s="1036"/>
      <c r="R9" s="270"/>
    </row>
    <row r="10" spans="1:18" s="956" customFormat="1" ht="15.95" customHeight="1" thickTop="1" thickBot="1">
      <c r="A10" s="955"/>
      <c r="B10" s="958" t="s">
        <v>106</v>
      </c>
      <c r="C10" s="1777" t="s">
        <v>15</v>
      </c>
      <c r="D10" s="1778"/>
      <c r="E10" s="1778"/>
      <c r="F10" s="1778"/>
      <c r="G10" s="1778"/>
      <c r="H10" s="1778"/>
      <c r="I10" s="1778"/>
      <c r="J10" s="1778"/>
      <c r="K10" s="1779"/>
      <c r="L10" s="237"/>
      <c r="M10" s="959"/>
      <c r="N10" s="270"/>
      <c r="O10" s="957"/>
      <c r="Q10" s="1036"/>
      <c r="R10" s="270"/>
    </row>
    <row r="11" spans="1:18" s="956" customFormat="1" ht="15.95" customHeight="1" thickTop="1" thickBot="1">
      <c r="A11" s="955"/>
      <c r="B11" s="960" t="s">
        <v>107</v>
      </c>
      <c r="C11" s="1777" t="s">
        <v>925</v>
      </c>
      <c r="D11" s="1778"/>
      <c r="E11" s="1778"/>
      <c r="F11" s="1778"/>
      <c r="G11" s="1778"/>
      <c r="H11" s="1778"/>
      <c r="I11" s="1778"/>
      <c r="J11" s="1778"/>
      <c r="K11" s="1779"/>
      <c r="L11" s="237"/>
      <c r="M11" s="959"/>
      <c r="N11" s="270"/>
      <c r="O11" s="957"/>
      <c r="Q11" s="1036"/>
      <c r="R11" s="270"/>
    </row>
    <row r="12" spans="1:18" s="956" customFormat="1" ht="15.95" customHeight="1" thickTop="1" thickBot="1">
      <c r="A12" s="955"/>
      <c r="B12" s="958" t="s">
        <v>109</v>
      </c>
      <c r="C12" s="1777" t="s">
        <v>926</v>
      </c>
      <c r="D12" s="1778"/>
      <c r="E12" s="1778"/>
      <c r="F12" s="1778"/>
      <c r="G12" s="1778"/>
      <c r="H12" s="1778"/>
      <c r="I12" s="1778"/>
      <c r="J12" s="1778"/>
      <c r="K12" s="1779"/>
      <c r="L12" s="237"/>
      <c r="M12" s="959"/>
      <c r="N12" s="270"/>
      <c r="O12" s="957"/>
      <c r="Q12" s="1036"/>
      <c r="R12" s="270"/>
    </row>
    <row r="13" spans="1:18" s="956" customFormat="1" ht="15.95" customHeight="1" thickTop="1" thickBot="1">
      <c r="A13" s="955"/>
      <c r="B13" s="958" t="s">
        <v>42</v>
      </c>
      <c r="C13" s="1777" t="s">
        <v>1500</v>
      </c>
      <c r="D13" s="1778"/>
      <c r="E13" s="1778"/>
      <c r="F13" s="1778"/>
      <c r="G13" s="1778"/>
      <c r="H13" s="1778"/>
      <c r="I13" s="1778"/>
      <c r="J13" s="1778"/>
      <c r="K13" s="1779"/>
      <c r="L13" s="237"/>
      <c r="M13" s="959"/>
      <c r="N13" s="270"/>
      <c r="O13" s="957"/>
      <c r="Q13" s="1036"/>
      <c r="R13" s="270"/>
    </row>
    <row r="14" spans="1:18" s="956" customFormat="1" ht="15.95" customHeight="1" thickTop="1" thickBot="1">
      <c r="A14" s="955"/>
      <c r="B14" s="958" t="s">
        <v>110</v>
      </c>
      <c r="C14" s="1777" t="s">
        <v>932</v>
      </c>
      <c r="D14" s="1778"/>
      <c r="E14" s="1778"/>
      <c r="F14" s="1778"/>
      <c r="G14" s="1778"/>
      <c r="H14" s="1778"/>
      <c r="I14" s="1778"/>
      <c r="J14" s="1778"/>
      <c r="K14" s="1779"/>
      <c r="L14" s="237"/>
      <c r="M14" s="959"/>
      <c r="N14" s="270"/>
      <c r="O14" s="957"/>
      <c r="Q14" s="1036"/>
      <c r="R14" s="270"/>
    </row>
    <row r="15" spans="1:18" s="956" customFormat="1" ht="15.95" customHeight="1" thickTop="1" thickBot="1">
      <c r="A15" s="955"/>
      <c r="B15" s="958" t="s">
        <v>111</v>
      </c>
      <c r="C15" s="1777" t="s">
        <v>2148</v>
      </c>
      <c r="D15" s="1778"/>
      <c r="E15" s="1778"/>
      <c r="F15" s="1778"/>
      <c r="G15" s="1778"/>
      <c r="H15" s="1778"/>
      <c r="I15" s="1778"/>
      <c r="J15" s="1778"/>
      <c r="K15" s="1779"/>
      <c r="L15" s="971" t="str">
        <f>IF(AND(L6="",L7="",L8=""),"",MAX(L6,L7,L8))</f>
        <v/>
      </c>
      <c r="M15" s="959"/>
      <c r="N15" s="270"/>
      <c r="O15" s="957"/>
      <c r="Q15" s="1036"/>
      <c r="R15" s="270"/>
    </row>
    <row r="16" spans="1:18" ht="6" customHeight="1" thickTop="1">
      <c r="Q16" s="1036"/>
    </row>
    <row r="17" spans="1:18" ht="15" customHeight="1">
      <c r="A17" s="12" t="s">
        <v>927</v>
      </c>
      <c r="B17" s="1694" t="s">
        <v>2213</v>
      </c>
      <c r="C17" s="1694"/>
      <c r="D17" s="1694"/>
      <c r="E17" s="1694"/>
      <c r="F17" s="1694"/>
      <c r="G17" s="1694"/>
      <c r="H17" s="1694"/>
      <c r="I17" s="1694"/>
      <c r="J17" s="1694"/>
      <c r="K17" s="1694"/>
      <c r="L17" s="1694"/>
      <c r="M17" s="4"/>
      <c r="N17" s="6"/>
      <c r="O17" s="4"/>
      <c r="Q17" s="1036"/>
      <c r="R17" s="6"/>
    </row>
    <row r="18" spans="1:18" ht="12.95" customHeight="1">
      <c r="M18" s="4"/>
      <c r="N18" s="6"/>
      <c r="O18" s="4"/>
      <c r="Q18" s="1036"/>
      <c r="R18" s="6"/>
    </row>
    <row r="19" spans="1:18" ht="15" customHeight="1" thickBot="1">
      <c r="B19" s="85" t="s">
        <v>53</v>
      </c>
      <c r="C19" s="1593" t="s">
        <v>928</v>
      </c>
      <c r="D19" s="1593"/>
      <c r="E19" s="1593"/>
      <c r="F19" s="1593"/>
      <c r="G19" s="1593"/>
      <c r="H19" s="1593"/>
      <c r="I19" s="1593"/>
      <c r="J19" s="1593"/>
      <c r="K19" s="1593"/>
      <c r="L19" s="13"/>
      <c r="M19" s="4"/>
      <c r="N19" s="6"/>
      <c r="O19" s="4"/>
      <c r="Q19" s="1036"/>
      <c r="R19" s="6"/>
    </row>
    <row r="20" spans="1:18" s="8" customFormat="1" ht="6" customHeight="1" thickTop="1">
      <c r="A20" s="26"/>
      <c r="B20" s="489"/>
      <c r="C20" s="1062"/>
      <c r="D20" s="24"/>
      <c r="E20" s="24"/>
      <c r="F20" s="24"/>
      <c r="G20" s="24"/>
      <c r="H20" s="26"/>
      <c r="I20" s="26"/>
      <c r="J20" s="26"/>
      <c r="K20" s="26"/>
      <c r="L20" s="21"/>
      <c r="N20" s="27"/>
      <c r="Q20" s="1036"/>
      <c r="R20" s="27"/>
    </row>
    <row r="21" spans="1:18" ht="18" customHeight="1" thickBot="1">
      <c r="B21" s="85" t="s">
        <v>54</v>
      </c>
      <c r="C21" s="1593" t="s">
        <v>929</v>
      </c>
      <c r="D21" s="1593"/>
      <c r="E21" s="1593"/>
      <c r="F21" s="1593"/>
      <c r="G21" s="1605"/>
      <c r="H21" s="1605"/>
      <c r="I21" s="305"/>
      <c r="J21" s="489" t="s">
        <v>996</v>
      </c>
      <c r="K21" s="1605"/>
      <c r="L21" s="2237"/>
      <c r="M21" s="154"/>
      <c r="N21" s="490"/>
      <c r="O21" s="4"/>
      <c r="Q21" s="1036"/>
      <c r="R21" s="490"/>
    </row>
    <row r="22" spans="1:18" ht="6" customHeight="1" thickTop="1">
      <c r="B22" s="4"/>
      <c r="C22" s="1041"/>
      <c r="D22" s="37"/>
      <c r="E22" s="37"/>
      <c r="F22" s="24"/>
      <c r="G22" s="24"/>
      <c r="H22" s="24"/>
      <c r="I22" s="24"/>
      <c r="J22" s="24"/>
      <c r="K22" s="491"/>
      <c r="L22" s="21"/>
      <c r="M22" s="154"/>
      <c r="N22" s="490"/>
      <c r="O22" s="4"/>
      <c r="Q22" s="1036"/>
      <c r="R22" s="490"/>
    </row>
    <row r="23" spans="1:18" ht="18" customHeight="1" thickBot="1">
      <c r="B23" s="85" t="s">
        <v>55</v>
      </c>
      <c r="C23" s="1593" t="s">
        <v>2065</v>
      </c>
      <c r="D23" s="1593"/>
      <c r="E23" s="1593"/>
      <c r="F23" s="1593"/>
      <c r="G23" s="1605"/>
      <c r="H23" s="1605"/>
      <c r="I23" s="305"/>
      <c r="J23" s="489" t="s">
        <v>995</v>
      </c>
      <c r="K23" s="1605"/>
      <c r="L23" s="2237"/>
      <c r="M23" s="154"/>
      <c r="N23" s="490"/>
      <c r="O23" s="4"/>
      <c r="Q23" s="1036"/>
      <c r="R23" s="490"/>
    </row>
    <row r="24" spans="1:18" ht="6" customHeight="1" thickTop="1">
      <c r="B24" s="4"/>
      <c r="C24" s="1041"/>
      <c r="D24" s="37"/>
      <c r="E24" s="37"/>
      <c r="F24" s="24"/>
      <c r="G24" s="24"/>
      <c r="H24" s="24"/>
      <c r="I24" s="24"/>
      <c r="J24" s="24"/>
      <c r="K24" s="491"/>
      <c r="L24" s="21"/>
      <c r="M24" s="154"/>
      <c r="N24" s="490"/>
      <c r="O24" s="4"/>
      <c r="Q24" s="1036"/>
      <c r="R24" s="490"/>
    </row>
    <row r="25" spans="1:18" ht="26.1" customHeight="1" thickBot="1">
      <c r="B25" s="206" t="s">
        <v>56</v>
      </c>
      <c r="C25" s="1656" t="s">
        <v>2214</v>
      </c>
      <c r="D25" s="1656"/>
      <c r="E25" s="1656"/>
      <c r="F25" s="1656"/>
      <c r="G25" s="1656"/>
      <c r="H25" s="1656"/>
      <c r="I25" s="1656"/>
      <c r="J25" s="1656"/>
      <c r="K25" s="1656"/>
      <c r="L25" s="13"/>
      <c r="M25" s="8"/>
      <c r="N25" s="6"/>
      <c r="O25" s="4"/>
      <c r="Q25" s="1036"/>
      <c r="R25" s="6"/>
    </row>
    <row r="26" spans="1:18" ht="6" customHeight="1" thickTop="1">
      <c r="M26" s="4"/>
      <c r="N26" s="6"/>
      <c r="O26" s="4"/>
      <c r="Q26" s="1036"/>
      <c r="R26" s="6"/>
    </row>
    <row r="27" spans="1:18" ht="15" customHeight="1">
      <c r="A27" s="12" t="s">
        <v>931</v>
      </c>
      <c r="B27" s="1593" t="s">
        <v>2135</v>
      </c>
      <c r="C27" s="1593"/>
      <c r="D27" s="1593"/>
      <c r="E27" s="1593"/>
      <c r="F27" s="1593"/>
      <c r="G27" s="1593"/>
      <c r="H27" s="1593"/>
      <c r="I27" s="1593"/>
      <c r="J27" s="1593"/>
      <c r="K27" s="1593"/>
      <c r="L27" s="1593"/>
      <c r="M27" s="4"/>
      <c r="N27" s="6"/>
      <c r="O27" s="4"/>
      <c r="Q27" s="1036"/>
      <c r="R27" s="6"/>
    </row>
    <row r="28" spans="1:18" ht="12.95" customHeight="1">
      <c r="A28" s="202"/>
      <c r="K28" s="4"/>
      <c r="L28" s="4"/>
      <c r="M28" s="4"/>
      <c r="N28" s="6"/>
      <c r="O28" s="4"/>
      <c r="Q28" s="1036"/>
      <c r="R28" s="6"/>
    </row>
    <row r="29" spans="1:18" s="1041" customFormat="1" ht="15" customHeight="1" thickBot="1">
      <c r="A29" s="1045"/>
      <c r="B29" s="1056" t="s">
        <v>53</v>
      </c>
      <c r="C29" s="1593" t="s">
        <v>2132</v>
      </c>
      <c r="D29" s="1593"/>
      <c r="E29" s="1593"/>
      <c r="F29" s="1593"/>
      <c r="G29" s="1593"/>
      <c r="H29" s="1593"/>
      <c r="I29" s="1593"/>
      <c r="J29" s="1593"/>
      <c r="K29" s="1593"/>
      <c r="L29" s="1593"/>
      <c r="N29" s="6"/>
      <c r="Q29" s="1057"/>
      <c r="R29" s="6"/>
    </row>
    <row r="30" spans="1:18" s="1041" customFormat="1" ht="12" customHeight="1" thickTop="1" thickBot="1">
      <c r="A30" s="1045"/>
      <c r="B30" s="1056"/>
      <c r="C30" s="1045"/>
      <c r="D30" s="1045"/>
      <c r="E30" s="1052"/>
      <c r="F30" s="1052"/>
      <c r="G30" s="1052"/>
      <c r="H30" s="1052"/>
      <c r="I30" s="1052"/>
      <c r="L30" s="1055" t="s">
        <v>99</v>
      </c>
      <c r="N30" s="6"/>
      <c r="Q30" s="1057"/>
      <c r="R30" s="6"/>
    </row>
    <row r="31" spans="1:18" s="1041" customFormat="1" ht="15.95" customHeight="1" thickTop="1" thickBot="1">
      <c r="A31" s="1045"/>
      <c r="B31" s="1056"/>
      <c r="C31" s="132">
        <v>1</v>
      </c>
      <c r="D31" s="1767" t="s">
        <v>2143</v>
      </c>
      <c r="E31" s="2235"/>
      <c r="F31" s="2235"/>
      <c r="G31" s="2235"/>
      <c r="H31" s="2235"/>
      <c r="I31" s="2235"/>
      <c r="J31" s="2235"/>
      <c r="K31" s="2236"/>
      <c r="L31" s="368">
        <f>+'FORM 1040-7'!I9</f>
        <v>0</v>
      </c>
      <c r="N31" s="6"/>
      <c r="Q31" s="1057"/>
      <c r="R31" s="6"/>
    </row>
    <row r="32" spans="1:18" s="1041" customFormat="1" ht="15.95" customHeight="1" thickTop="1" thickBot="1">
      <c r="A32" s="1045"/>
      <c r="B32" s="1056"/>
      <c r="C32" s="132">
        <v>2</v>
      </c>
      <c r="D32" s="1767" t="s">
        <v>320</v>
      </c>
      <c r="E32" s="2235"/>
      <c r="F32" s="2235"/>
      <c r="G32" s="2235"/>
      <c r="H32" s="2235"/>
      <c r="I32" s="2235"/>
      <c r="J32" s="2235"/>
      <c r="K32" s="2236"/>
      <c r="L32" s="492">
        <f>IF('FORM 1040-15'!T11=TRUE,0.075,0.05)</f>
        <v>7.4999999999999997E-2</v>
      </c>
      <c r="N32" s="6"/>
      <c r="Q32" s="1057"/>
      <c r="R32" s="6"/>
    </row>
    <row r="33" spans="1:18" s="1041" customFormat="1" ht="15.95" customHeight="1" thickTop="1" thickBot="1">
      <c r="A33" s="1045"/>
      <c r="B33" s="1056"/>
      <c r="C33" s="132">
        <v>3</v>
      </c>
      <c r="D33" s="1767" t="s">
        <v>2400</v>
      </c>
      <c r="E33" s="2235"/>
      <c r="F33" s="2235"/>
      <c r="G33" s="2235"/>
      <c r="H33" s="2235"/>
      <c r="I33" s="2235"/>
      <c r="J33" s="2235"/>
      <c r="K33" s="2236"/>
      <c r="L33" s="151">
        <f>+L31*L32</f>
        <v>0</v>
      </c>
      <c r="N33" s="6"/>
      <c r="Q33" s="1057"/>
      <c r="R33" s="6"/>
    </row>
    <row r="34" spans="1:18" ht="15.95" customHeight="1" thickTop="1" thickBot="1">
      <c r="A34" s="1018"/>
      <c r="B34" s="1025"/>
      <c r="C34" s="132">
        <v>4</v>
      </c>
      <c r="D34" s="1767" t="s">
        <v>321</v>
      </c>
      <c r="E34" s="2235"/>
      <c r="F34" s="2235"/>
      <c r="G34" s="2235"/>
      <c r="H34" s="2235"/>
      <c r="I34" s="2235"/>
      <c r="J34" s="2235"/>
      <c r="K34" s="2236"/>
      <c r="L34" s="151">
        <f>IF('FORM 1040-15'!T11=TRUE,2000,1750)</f>
        <v>2000</v>
      </c>
      <c r="M34" s="1015"/>
      <c r="N34" s="6"/>
      <c r="O34" s="4"/>
      <c r="Q34" s="1036"/>
      <c r="R34" s="6"/>
    </row>
    <row r="35" spans="1:18" ht="15.95" customHeight="1" thickTop="1" thickBot="1">
      <c r="A35" s="1018"/>
      <c r="B35" s="1025"/>
      <c r="C35" s="132">
        <v>5</v>
      </c>
      <c r="D35" s="1767" t="s">
        <v>2137</v>
      </c>
      <c r="E35" s="2235"/>
      <c r="F35" s="2235"/>
      <c r="G35" s="2235"/>
      <c r="H35" s="2235"/>
      <c r="I35" s="2235"/>
      <c r="J35" s="2235"/>
      <c r="K35" s="2236"/>
      <c r="L35" s="151">
        <f>MAX(L33,L34)</f>
        <v>2000</v>
      </c>
      <c r="M35" s="1015"/>
      <c r="N35" s="6"/>
      <c r="O35" s="4"/>
      <c r="Q35" s="1036"/>
      <c r="R35" s="6"/>
    </row>
    <row r="36" spans="1:18" s="1041" customFormat="1" ht="6" customHeight="1" thickTop="1">
      <c r="A36" s="1045"/>
      <c r="B36" s="1056"/>
      <c r="C36" s="1045"/>
      <c r="D36" s="1045"/>
      <c r="E36" s="1045"/>
      <c r="F36" s="1045"/>
      <c r="G36" s="1045"/>
      <c r="H36" s="1045"/>
      <c r="I36" s="1045"/>
      <c r="J36" s="1045"/>
      <c r="N36" s="6"/>
      <c r="Q36" s="1057"/>
      <c r="R36" s="6"/>
    </row>
    <row r="37" spans="1:18" s="1041" customFormat="1" ht="15" customHeight="1" thickBot="1">
      <c r="A37" s="1045"/>
      <c r="B37" s="1056" t="s">
        <v>54</v>
      </c>
      <c r="C37" s="1593" t="s">
        <v>2136</v>
      </c>
      <c r="D37" s="1593"/>
      <c r="E37" s="1593"/>
      <c r="F37" s="1593"/>
      <c r="G37" s="1593"/>
      <c r="H37" s="1593"/>
      <c r="I37" s="1593"/>
      <c r="J37" s="1593"/>
      <c r="K37" s="1593"/>
      <c r="L37" s="1593"/>
      <c r="N37" s="6"/>
      <c r="Q37" s="1057"/>
      <c r="R37" s="6"/>
    </row>
    <row r="38" spans="1:18" ht="12" customHeight="1" thickTop="1" thickBot="1">
      <c r="A38" s="1018"/>
      <c r="B38" s="1018"/>
      <c r="D38" s="1018"/>
      <c r="E38" s="1023"/>
      <c r="F38" s="1023"/>
      <c r="G38" s="1023"/>
      <c r="H38" s="1023"/>
      <c r="I38" s="1023"/>
      <c r="J38" s="1015"/>
      <c r="K38" s="1015"/>
      <c r="L38" s="1024" t="s">
        <v>99</v>
      </c>
      <c r="M38" s="1015"/>
      <c r="N38" s="6"/>
      <c r="O38" s="4"/>
      <c r="Q38" s="1036"/>
      <c r="R38" s="6"/>
    </row>
    <row r="39" spans="1:18" ht="15.95" customHeight="1" thickTop="1" thickBot="1">
      <c r="A39" s="1018"/>
      <c r="B39" s="1025"/>
      <c r="C39" s="132">
        <v>1</v>
      </c>
      <c r="D39" s="1767" t="s">
        <v>2138</v>
      </c>
      <c r="E39" s="2235"/>
      <c r="F39" s="2235"/>
      <c r="G39" s="2235"/>
      <c r="H39" s="2235"/>
      <c r="I39" s="2235"/>
      <c r="J39" s="2235"/>
      <c r="K39" s="2236"/>
      <c r="L39" s="149">
        <f>+'FORM 1040-7'!I7</f>
        <v>0</v>
      </c>
      <c r="M39" s="1015"/>
      <c r="N39" s="6"/>
      <c r="O39" s="4"/>
      <c r="Q39" s="1036"/>
      <c r="R39" s="6"/>
    </row>
    <row r="40" spans="1:18" ht="15.95" customHeight="1" thickTop="1" thickBot="1">
      <c r="A40" s="1018"/>
      <c r="B40" s="1025"/>
      <c r="C40" s="132">
        <v>2</v>
      </c>
      <c r="D40" s="1767" t="s">
        <v>2134</v>
      </c>
      <c r="E40" s="2235"/>
      <c r="F40" s="2235"/>
      <c r="G40" s="2235"/>
      <c r="H40" s="2235"/>
      <c r="I40" s="2235"/>
      <c r="J40" s="2235"/>
      <c r="K40" s="2236"/>
      <c r="L40" s="492">
        <f>IF('FORM 1040-15'!T11=TRUE,0.15,0.1)</f>
        <v>0.15</v>
      </c>
      <c r="M40" s="1015"/>
      <c r="N40" s="6"/>
      <c r="O40" s="4"/>
      <c r="Q40" s="1036"/>
      <c r="R40" s="6"/>
    </row>
    <row r="41" spans="1:18" ht="15.95" customHeight="1" thickTop="1" thickBot="1">
      <c r="A41" s="1018"/>
      <c r="B41" s="1025"/>
      <c r="C41" s="132">
        <v>3</v>
      </c>
      <c r="D41" s="1767" t="s">
        <v>2401</v>
      </c>
      <c r="E41" s="2235"/>
      <c r="F41" s="2235"/>
      <c r="G41" s="2235"/>
      <c r="H41" s="2235"/>
      <c r="I41" s="2235"/>
      <c r="J41" s="2235"/>
      <c r="K41" s="2236"/>
      <c r="L41" s="151">
        <f>+L39*L40</f>
        <v>0</v>
      </c>
      <c r="M41" s="1015"/>
      <c r="N41" s="6"/>
      <c r="O41" s="4"/>
      <c r="Q41" s="1036"/>
      <c r="R41" s="6"/>
    </row>
    <row r="42" spans="1:18" ht="6" customHeight="1" thickTop="1"/>
    <row r="43" spans="1:18" ht="15" customHeight="1" thickBot="1">
      <c r="B43" s="1056" t="s">
        <v>55</v>
      </c>
      <c r="C43" s="1593" t="s">
        <v>2141</v>
      </c>
      <c r="D43" s="1593"/>
      <c r="E43" s="1593"/>
      <c r="F43" s="1593"/>
      <c r="G43" s="1593"/>
      <c r="H43" s="1593"/>
      <c r="I43" s="1593"/>
      <c r="J43" s="1593"/>
      <c r="K43" s="1593"/>
      <c r="L43" s="1593"/>
    </row>
    <row r="44" spans="1:18" s="8" customFormat="1" ht="12" customHeight="1" thickTop="1" thickBot="1">
      <c r="A44" s="1023"/>
      <c r="B44" s="1023"/>
      <c r="C44" s="1104"/>
      <c r="D44" s="1019"/>
      <c r="E44" s="1017"/>
      <c r="F44" s="154"/>
      <c r="G44" s="154"/>
      <c r="H44" s="154"/>
      <c r="I44" s="154"/>
      <c r="J44" s="1017"/>
      <c r="K44" s="1017"/>
      <c r="L44" s="1055" t="s">
        <v>99</v>
      </c>
      <c r="M44" s="1017"/>
      <c r="N44" s="27"/>
      <c r="O44" s="107"/>
      <c r="Q44" s="1036"/>
      <c r="R44" s="27"/>
    </row>
    <row r="45" spans="1:18" s="1041" customFormat="1" ht="15.95" customHeight="1" thickTop="1" thickBot="1">
      <c r="A45" s="1045"/>
      <c r="B45" s="1056"/>
      <c r="C45" s="132">
        <v>1</v>
      </c>
      <c r="D45" s="1767" t="s">
        <v>2139</v>
      </c>
      <c r="E45" s="2235"/>
      <c r="F45" s="2235"/>
      <c r="G45" s="2235"/>
      <c r="H45" s="2235"/>
      <c r="I45" s="2235"/>
      <c r="J45" s="2235"/>
      <c r="K45" s="2236"/>
      <c r="L45" s="142"/>
      <c r="N45" s="6"/>
      <c r="Q45" s="1057"/>
      <c r="R45" s="6"/>
    </row>
    <row r="46" spans="1:18" s="1041" customFormat="1" ht="15.95" customHeight="1" thickTop="1" thickBot="1">
      <c r="A46" s="1045"/>
      <c r="B46" s="1056"/>
      <c r="C46" s="132">
        <v>2</v>
      </c>
      <c r="D46" s="1767" t="s">
        <v>320</v>
      </c>
      <c r="E46" s="2235"/>
      <c r="F46" s="2235"/>
      <c r="G46" s="2235"/>
      <c r="H46" s="2235"/>
      <c r="I46" s="2235"/>
      <c r="J46" s="2235"/>
      <c r="K46" s="2236"/>
      <c r="L46" s="492">
        <f>IF('FORM 1040-15'!T11=TRUE,0.075,0.05)</f>
        <v>7.4999999999999997E-2</v>
      </c>
      <c r="N46" s="6"/>
      <c r="Q46" s="1057"/>
      <c r="R46" s="6"/>
    </row>
    <row r="47" spans="1:18" s="1041" customFormat="1" ht="15.95" customHeight="1" thickTop="1" thickBot="1">
      <c r="A47" s="1045"/>
      <c r="B47" s="1056"/>
      <c r="C47" s="132">
        <v>3</v>
      </c>
      <c r="D47" s="1767" t="s">
        <v>2402</v>
      </c>
      <c r="E47" s="2235"/>
      <c r="F47" s="2235"/>
      <c r="G47" s="2235"/>
      <c r="H47" s="2235"/>
      <c r="I47" s="2235"/>
      <c r="J47" s="2235"/>
      <c r="K47" s="2236"/>
      <c r="L47" s="151">
        <f>+L45*L46</f>
        <v>0</v>
      </c>
      <c r="N47" s="6"/>
      <c r="Q47" s="1057"/>
      <c r="R47" s="6"/>
    </row>
    <row r="48" spans="1:18" s="1041" customFormat="1" ht="15.95" customHeight="1" thickTop="1" thickBot="1">
      <c r="A48" s="1045"/>
      <c r="B48" s="1056"/>
      <c r="C48" s="132">
        <v>4</v>
      </c>
      <c r="D48" s="1767" t="s">
        <v>2142</v>
      </c>
      <c r="E48" s="2235"/>
      <c r="F48" s="2235"/>
      <c r="G48" s="2235"/>
      <c r="H48" s="2235"/>
      <c r="I48" s="2235"/>
      <c r="J48" s="2235"/>
      <c r="K48" s="2236"/>
      <c r="L48" s="1258"/>
      <c r="N48" s="6"/>
      <c r="Q48" s="1057"/>
      <c r="R48" s="6"/>
    </row>
    <row r="49" spans="1:18" s="1041" customFormat="1" ht="15.95" customHeight="1" thickTop="1" thickBot="1">
      <c r="A49" s="1045"/>
      <c r="B49" s="1056"/>
      <c r="C49" s="132">
        <v>5</v>
      </c>
      <c r="D49" s="1767" t="s">
        <v>2405</v>
      </c>
      <c r="E49" s="2235"/>
      <c r="F49" s="2235"/>
      <c r="G49" s="2235"/>
      <c r="H49" s="2235"/>
      <c r="I49" s="2235"/>
      <c r="J49" s="2235"/>
      <c r="K49" s="2236"/>
      <c r="L49" s="151">
        <f>+L47+L48</f>
        <v>0</v>
      </c>
      <c r="N49" s="6"/>
      <c r="O49" s="381">
        <f>IF(ISERROR(L49),0,(L49))</f>
        <v>0</v>
      </c>
      <c r="P49" s="851" t="s">
        <v>989</v>
      </c>
      <c r="Q49" s="1057"/>
      <c r="R49" s="6"/>
    </row>
    <row r="50" spans="1:18" s="1039" customFormat="1" ht="6" customHeight="1" thickTop="1" thickBot="1">
      <c r="A50" s="1052"/>
      <c r="B50" s="1052"/>
      <c r="C50" s="1104"/>
      <c r="D50" s="1049"/>
      <c r="F50" s="154"/>
      <c r="G50" s="154"/>
      <c r="H50" s="154"/>
      <c r="I50" s="154"/>
      <c r="L50" s="349"/>
      <c r="N50" s="27"/>
      <c r="O50" s="107"/>
      <c r="Q50" s="1057"/>
      <c r="R50" s="27"/>
    </row>
    <row r="51" spans="1:18" ht="15.95" customHeight="1" thickTop="1" thickBot="1">
      <c r="A51" s="1018"/>
      <c r="B51" s="1025"/>
      <c r="C51" s="132">
        <v>6</v>
      </c>
      <c r="D51" s="1767" t="s">
        <v>2140</v>
      </c>
      <c r="E51" s="2235"/>
      <c r="F51" s="2235"/>
      <c r="G51" s="2235"/>
      <c r="H51" s="2235"/>
      <c r="I51" s="2235"/>
      <c r="J51" s="2235"/>
      <c r="K51" s="2236"/>
      <c r="L51" s="142"/>
      <c r="M51" s="1015"/>
      <c r="N51" s="6"/>
      <c r="O51" s="105"/>
      <c r="Q51" s="1036"/>
      <c r="R51" s="6"/>
    </row>
    <row r="52" spans="1:18" ht="15.95" customHeight="1" thickTop="1" thickBot="1">
      <c r="A52" s="1018"/>
      <c r="B52" s="1025"/>
      <c r="C52" s="132">
        <v>7</v>
      </c>
      <c r="D52" s="1767" t="s">
        <v>322</v>
      </c>
      <c r="E52" s="2235"/>
      <c r="F52" s="2235"/>
      <c r="G52" s="2235"/>
      <c r="H52" s="2235"/>
      <c r="I52" s="2235"/>
      <c r="J52" s="2235"/>
      <c r="K52" s="2236"/>
      <c r="L52" s="492">
        <f>IF('FORM 1040-15'!T11=TRUE,0.075,0.05)</f>
        <v>7.4999999999999997E-2</v>
      </c>
      <c r="M52" s="1015"/>
      <c r="N52" s="6"/>
      <c r="O52" s="105"/>
      <c r="Q52" s="1036"/>
      <c r="R52" s="6"/>
    </row>
    <row r="53" spans="1:18" s="1041" customFormat="1" ht="15.95" customHeight="1" thickTop="1" thickBot="1">
      <c r="A53" s="1045"/>
      <c r="B53" s="1056"/>
      <c r="C53" s="132">
        <v>8</v>
      </c>
      <c r="D53" s="1767" t="s">
        <v>2403</v>
      </c>
      <c r="E53" s="2235"/>
      <c r="F53" s="2235"/>
      <c r="G53" s="2235"/>
      <c r="H53" s="2235"/>
      <c r="I53" s="2235"/>
      <c r="J53" s="2235"/>
      <c r="K53" s="2236"/>
      <c r="L53" s="151">
        <f>+L51*L52</f>
        <v>0</v>
      </c>
      <c r="N53" s="6"/>
      <c r="O53" s="105"/>
      <c r="Q53" s="1057"/>
      <c r="R53" s="6"/>
    </row>
    <row r="54" spans="1:18" s="1041" customFormat="1" ht="15.95" customHeight="1" thickTop="1" thickBot="1">
      <c r="A54" s="1045"/>
      <c r="B54" s="1056"/>
      <c r="C54" s="132">
        <v>9</v>
      </c>
      <c r="D54" s="1767" t="s">
        <v>2142</v>
      </c>
      <c r="E54" s="2235"/>
      <c r="F54" s="2235"/>
      <c r="G54" s="2235"/>
      <c r="H54" s="2235"/>
      <c r="I54" s="2235"/>
      <c r="J54" s="2235"/>
      <c r="K54" s="2236"/>
      <c r="L54" s="1258"/>
      <c r="N54" s="6"/>
      <c r="O54" s="105"/>
      <c r="Q54" s="1057"/>
      <c r="R54" s="6"/>
    </row>
    <row r="55" spans="1:18" ht="15.95" customHeight="1" thickTop="1" thickBot="1">
      <c r="A55" s="1018"/>
      <c r="B55" s="1025"/>
      <c r="C55" s="132">
        <v>10</v>
      </c>
      <c r="D55" s="1767" t="s">
        <v>2404</v>
      </c>
      <c r="E55" s="2235"/>
      <c r="F55" s="2235"/>
      <c r="G55" s="2235"/>
      <c r="H55" s="2235"/>
      <c r="I55" s="2235"/>
      <c r="J55" s="2235"/>
      <c r="K55" s="2236"/>
      <c r="L55" s="151">
        <f>+L53+L54</f>
        <v>0</v>
      </c>
      <c r="M55" s="1015"/>
      <c r="N55" s="6"/>
      <c r="O55" s="381">
        <f>IF(ISERROR(L55),0,(L55))</f>
        <v>0</v>
      </c>
      <c r="P55" s="851" t="s">
        <v>990</v>
      </c>
      <c r="Q55" s="1036"/>
      <c r="R55" s="6"/>
    </row>
    <row r="56" spans="1:18" s="8" customFormat="1" ht="6" customHeight="1" thickTop="1" thickBot="1">
      <c r="A56" s="1023"/>
      <c r="B56" s="1023"/>
      <c r="C56" s="1104"/>
      <c r="D56" s="1019"/>
      <c r="E56" s="1017"/>
      <c r="F56" s="154"/>
      <c r="G56" s="154"/>
      <c r="H56" s="154"/>
      <c r="I56" s="154"/>
      <c r="J56" s="1017"/>
      <c r="K56" s="1017"/>
      <c r="L56" s="349"/>
      <c r="M56" s="1017"/>
      <c r="N56" s="27"/>
      <c r="O56" s="107"/>
      <c r="Q56" s="1036"/>
      <c r="R56" s="27"/>
    </row>
    <row r="57" spans="1:18" ht="15.95" customHeight="1" thickTop="1" thickBot="1">
      <c r="A57" s="1018"/>
      <c r="B57" s="1025"/>
      <c r="C57" s="132">
        <v>11</v>
      </c>
      <c r="D57" s="1767" t="s">
        <v>2144</v>
      </c>
      <c r="E57" s="2235"/>
      <c r="F57" s="2235"/>
      <c r="G57" s="2235"/>
      <c r="H57" s="2235"/>
      <c r="I57" s="2235"/>
      <c r="J57" s="2235"/>
      <c r="K57" s="2236"/>
      <c r="L57" s="142"/>
      <c r="M57" s="1015"/>
      <c r="N57" s="6"/>
      <c r="O57" s="381">
        <f>IF(L57="",0,(L57))</f>
        <v>0</v>
      </c>
      <c r="P57" s="851" t="s">
        <v>991</v>
      </c>
      <c r="Q57" s="1036"/>
      <c r="R57" s="6"/>
    </row>
    <row r="58" spans="1:18" ht="15.95" customHeight="1" thickTop="1" thickBot="1">
      <c r="A58" s="1018"/>
      <c r="B58" s="1025"/>
      <c r="C58" s="132">
        <v>12</v>
      </c>
      <c r="D58" s="1767" t="s">
        <v>2145</v>
      </c>
      <c r="E58" s="2235"/>
      <c r="F58" s="2235"/>
      <c r="G58" s="2235"/>
      <c r="H58" s="2235"/>
      <c r="I58" s="2235"/>
      <c r="J58" s="2235"/>
      <c r="K58" s="2236"/>
      <c r="L58" s="142"/>
      <c r="M58" s="1015"/>
      <c r="N58" s="6"/>
      <c r="O58" s="381">
        <f>IF(L58="",0,(L58))</f>
        <v>0</v>
      </c>
      <c r="P58" s="851" t="s">
        <v>992</v>
      </c>
      <c r="Q58" s="1036"/>
      <c r="R58" s="6"/>
    </row>
    <row r="59" spans="1:18" s="1015" customFormat="1" ht="15.95" customHeight="1" thickTop="1" thickBot="1">
      <c r="A59" s="1018"/>
      <c r="B59" s="1025"/>
      <c r="C59" s="132">
        <v>13</v>
      </c>
      <c r="D59" s="1767" t="s">
        <v>2146</v>
      </c>
      <c r="E59" s="2235"/>
      <c r="F59" s="2235"/>
      <c r="G59" s="2235"/>
      <c r="H59" s="2235"/>
      <c r="I59" s="2235"/>
      <c r="J59" s="2235"/>
      <c r="K59" s="2236"/>
      <c r="L59" s="142"/>
      <c r="N59" s="6"/>
      <c r="O59" s="381">
        <f>IF(L59="",0,(L59))</f>
        <v>0</v>
      </c>
      <c r="P59" s="851" t="s">
        <v>2388</v>
      </c>
      <c r="Q59" s="1036"/>
      <c r="R59" s="6"/>
    </row>
    <row r="60" spans="1:18" s="8" customFormat="1" ht="6" customHeight="1" thickTop="1" thickBot="1">
      <c r="A60" s="1023"/>
      <c r="B60" s="1023"/>
      <c r="C60" s="1104"/>
      <c r="D60" s="1019"/>
      <c r="E60" s="1017"/>
      <c r="F60" s="154"/>
      <c r="G60" s="154"/>
      <c r="H60" s="154"/>
      <c r="I60" s="154"/>
      <c r="J60" s="1017"/>
      <c r="K60" s="1017"/>
      <c r="L60" s="349"/>
      <c r="M60" s="1017"/>
      <c r="N60" s="27"/>
      <c r="Q60" s="1036"/>
      <c r="R60" s="27"/>
    </row>
    <row r="61" spans="1:18" ht="15.95" customHeight="1" thickTop="1" thickBot="1">
      <c r="A61" s="1016"/>
      <c r="B61" s="1025"/>
      <c r="C61" s="132">
        <v>14</v>
      </c>
      <c r="D61" s="1767" t="s">
        <v>2142</v>
      </c>
      <c r="E61" s="2235"/>
      <c r="F61" s="2235"/>
      <c r="G61" s="2235"/>
      <c r="H61" s="2235"/>
      <c r="I61" s="2235"/>
      <c r="J61" s="2235"/>
      <c r="K61" s="2236"/>
      <c r="L61" s="1259"/>
      <c r="M61" s="1018"/>
      <c r="O61" s="1288">
        <f>IF(L61="",0,(L61))</f>
        <v>0</v>
      </c>
      <c r="P61" s="851" t="s">
        <v>2416</v>
      </c>
      <c r="Q61" s="1036"/>
    </row>
    <row r="62" spans="1:18" ht="15.95" customHeight="1" thickTop="1" thickBot="1">
      <c r="B62" s="1025"/>
      <c r="C62" s="132">
        <v>15</v>
      </c>
      <c r="D62" s="1767" t="s">
        <v>2406</v>
      </c>
      <c r="E62" s="2235"/>
      <c r="F62" s="2235"/>
      <c r="G62" s="2235"/>
      <c r="H62" s="2235"/>
      <c r="I62" s="2235"/>
      <c r="J62" s="2235"/>
      <c r="K62" s="2236"/>
      <c r="L62" s="151">
        <f>+L49+L55+L57+L58+L59+L61</f>
        <v>0</v>
      </c>
      <c r="Q62" s="1036"/>
    </row>
    <row r="63" spans="1:18" ht="13.5" thickTop="1">
      <c r="Q63" s="1036"/>
    </row>
    <row r="64" spans="1:18">
      <c r="B64" s="1018"/>
      <c r="D64" s="4"/>
      <c r="E64" s="4"/>
      <c r="F64" s="4"/>
      <c r="G64" s="4"/>
      <c r="H64" s="4"/>
      <c r="I64" s="4"/>
      <c r="J64" s="4"/>
      <c r="K64" s="4"/>
      <c r="Q64" s="487" t="s">
        <v>421</v>
      </c>
    </row>
    <row r="65" spans="2:17">
      <c r="B65" s="1018"/>
      <c r="D65" s="1018"/>
      <c r="E65" s="1018"/>
      <c r="F65" s="1018"/>
      <c r="G65" s="1018"/>
      <c r="Q65" s="487" t="s">
        <v>422</v>
      </c>
    </row>
    <row r="66" spans="2:17">
      <c r="B66" s="1018"/>
      <c r="D66" s="1018"/>
      <c r="E66" s="1018"/>
      <c r="F66" s="1018"/>
      <c r="G66" s="1018"/>
      <c r="Q66" s="487" t="s">
        <v>423</v>
      </c>
    </row>
    <row r="67" spans="2:17">
      <c r="Q67" s="488" t="s">
        <v>424</v>
      </c>
    </row>
    <row r="68" spans="2:17">
      <c r="Q68" s="972" t="s">
        <v>425</v>
      </c>
    </row>
    <row r="69" spans="2:17">
      <c r="Q69" s="972" t="s">
        <v>426</v>
      </c>
    </row>
    <row r="70" spans="2:17">
      <c r="Q70" s="972" t="s">
        <v>427</v>
      </c>
    </row>
    <row r="71" spans="2:17">
      <c r="Q71" s="972" t="s">
        <v>428</v>
      </c>
    </row>
    <row r="72" spans="2:17">
      <c r="Q72" s="972" t="s">
        <v>429</v>
      </c>
    </row>
    <row r="73" spans="2:17">
      <c r="Q73" s="972" t="s">
        <v>430</v>
      </c>
    </row>
    <row r="74" spans="2:17">
      <c r="Q74" s="972" t="s">
        <v>431</v>
      </c>
    </row>
    <row r="75" spans="2:17">
      <c r="Q75" s="488" t="s">
        <v>291</v>
      </c>
    </row>
    <row r="76" spans="2:17">
      <c r="Q76" s="487" t="s">
        <v>432</v>
      </c>
    </row>
    <row r="77" spans="2:17">
      <c r="Q77" s="487" t="s">
        <v>433</v>
      </c>
    </row>
    <row r="78" spans="2:17">
      <c r="Q78" s="487" t="s">
        <v>434</v>
      </c>
    </row>
    <row r="79" spans="2:17">
      <c r="Q79" s="487" t="s">
        <v>435</v>
      </c>
    </row>
    <row r="80" spans="2:17">
      <c r="Q80" s="487" t="s">
        <v>436</v>
      </c>
    </row>
    <row r="81" spans="17:17">
      <c r="Q81" s="487" t="s">
        <v>437</v>
      </c>
    </row>
    <row r="82" spans="17:17">
      <c r="Q82" s="487" t="s">
        <v>438</v>
      </c>
    </row>
    <row r="83" spans="17:17">
      <c r="Q83" s="487" t="s">
        <v>439</v>
      </c>
    </row>
    <row r="84" spans="17:17">
      <c r="Q84" s="487" t="s">
        <v>440</v>
      </c>
    </row>
    <row r="85" spans="17:17">
      <c r="Q85" s="487" t="s">
        <v>441</v>
      </c>
    </row>
    <row r="86" spans="17:17">
      <c r="Q86" s="487" t="s">
        <v>442</v>
      </c>
    </row>
    <row r="87" spans="17:17">
      <c r="Q87" s="487" t="s">
        <v>443</v>
      </c>
    </row>
    <row r="88" spans="17:17">
      <c r="Q88" s="487" t="s">
        <v>444</v>
      </c>
    </row>
    <row r="89" spans="17:17">
      <c r="Q89" s="487" t="s">
        <v>445</v>
      </c>
    </row>
    <row r="90" spans="17:17">
      <c r="Q90" s="487" t="s">
        <v>446</v>
      </c>
    </row>
    <row r="91" spans="17:17">
      <c r="Q91" s="487" t="s">
        <v>447</v>
      </c>
    </row>
    <row r="92" spans="17:17">
      <c r="Q92" s="487" t="s">
        <v>448</v>
      </c>
    </row>
    <row r="93" spans="17:17">
      <c r="Q93" s="487" t="s">
        <v>449</v>
      </c>
    </row>
    <row r="94" spans="17:17">
      <c r="Q94" s="487" t="s">
        <v>418</v>
      </c>
    </row>
    <row r="95" spans="17:17">
      <c r="Q95" s="487" t="s">
        <v>450</v>
      </c>
    </row>
    <row r="96" spans="17:17">
      <c r="Q96" s="487" t="s">
        <v>451</v>
      </c>
    </row>
    <row r="97" spans="17:17">
      <c r="Q97" s="487" t="s">
        <v>452</v>
      </c>
    </row>
    <row r="98" spans="17:17">
      <c r="Q98" s="487" t="s">
        <v>453</v>
      </c>
    </row>
    <row r="99" spans="17:17">
      <c r="Q99" s="487" t="s">
        <v>454</v>
      </c>
    </row>
    <row r="100" spans="17:17">
      <c r="Q100" s="487" t="s">
        <v>455</v>
      </c>
    </row>
    <row r="101" spans="17:17">
      <c r="Q101" s="487" t="s">
        <v>419</v>
      </c>
    </row>
    <row r="102" spans="17:17">
      <c r="Q102" s="487" t="s">
        <v>456</v>
      </c>
    </row>
    <row r="103" spans="17:17">
      <c r="Q103" s="487" t="s">
        <v>457</v>
      </c>
    </row>
    <row r="104" spans="17:17">
      <c r="Q104" s="487" t="s">
        <v>458</v>
      </c>
    </row>
    <row r="105" spans="17:17">
      <c r="Q105" s="487" t="s">
        <v>459</v>
      </c>
    </row>
    <row r="106" spans="17:17">
      <c r="Q106" s="487" t="s">
        <v>460</v>
      </c>
    </row>
    <row r="107" spans="17:17">
      <c r="Q107" s="487" t="s">
        <v>461</v>
      </c>
    </row>
    <row r="108" spans="17:17">
      <c r="Q108" s="487" t="s">
        <v>462</v>
      </c>
    </row>
    <row r="109" spans="17:17">
      <c r="Q109" s="487" t="s">
        <v>463</v>
      </c>
    </row>
    <row r="110" spans="17:17">
      <c r="Q110" s="487" t="s">
        <v>464</v>
      </c>
    </row>
    <row r="111" spans="17:17">
      <c r="Q111" s="487" t="s">
        <v>465</v>
      </c>
    </row>
    <row r="112" spans="17:17">
      <c r="Q112" s="487" t="s">
        <v>466</v>
      </c>
    </row>
    <row r="113" spans="17:17">
      <c r="Q113" s="487" t="s">
        <v>467</v>
      </c>
    </row>
    <row r="114" spans="17:17">
      <c r="Q114" s="487" t="s">
        <v>468</v>
      </c>
    </row>
    <row r="115" spans="17:17">
      <c r="Q115" s="487" t="s">
        <v>469</v>
      </c>
    </row>
    <row r="116" spans="17:17">
      <c r="Q116" s="487" t="s">
        <v>470</v>
      </c>
    </row>
    <row r="117" spans="17:17">
      <c r="Q117" s="487" t="s">
        <v>471</v>
      </c>
    </row>
    <row r="118" spans="17:17">
      <c r="Q118" s="487" t="s">
        <v>472</v>
      </c>
    </row>
  </sheetData>
  <sheetProtection algorithmName="SHA-512" hashValue="Xd0ajy1NwuZuBsDPmtCQEP0RG0WJ8HMiWq2A0Z72c8/S/Kmde/FYKtoAJrZ6UWr9DbgTnIx8yfP8fMn80ZNgmw==" saltValue="ahOqWORxmyUxiWvvRY1Zww==" spinCount="100000" sheet="1" objects="1" scenarios="1"/>
  <mergeCells count="48">
    <mergeCell ref="D59:K59"/>
    <mergeCell ref="D62:K62"/>
    <mergeCell ref="D61:K61"/>
    <mergeCell ref="D58:K58"/>
    <mergeCell ref="D31:K31"/>
    <mergeCell ref="D32:K32"/>
    <mergeCell ref="D41:K41"/>
    <mergeCell ref="D34:K34"/>
    <mergeCell ref="D35:K35"/>
    <mergeCell ref="D51:K51"/>
    <mergeCell ref="D52:K52"/>
    <mergeCell ref="D55:K55"/>
    <mergeCell ref="D40:K40"/>
    <mergeCell ref="C43:L43"/>
    <mergeCell ref="D45:K45"/>
    <mergeCell ref="B3:L3"/>
    <mergeCell ref="B17:L17"/>
    <mergeCell ref="D57:K57"/>
    <mergeCell ref="K23:L23"/>
    <mergeCell ref="G21:H21"/>
    <mergeCell ref="G23:H23"/>
    <mergeCell ref="K21:L21"/>
    <mergeCell ref="B27:L27"/>
    <mergeCell ref="D54:K54"/>
    <mergeCell ref="C5:K5"/>
    <mergeCell ref="C6:K6"/>
    <mergeCell ref="C7:K7"/>
    <mergeCell ref="C8:K8"/>
    <mergeCell ref="C9:K9"/>
    <mergeCell ref="C10:K10"/>
    <mergeCell ref="C11:K11"/>
    <mergeCell ref="C12:K12"/>
    <mergeCell ref="C13:K13"/>
    <mergeCell ref="C14:K14"/>
    <mergeCell ref="C15:K15"/>
    <mergeCell ref="C19:K19"/>
    <mergeCell ref="C21:F21"/>
    <mergeCell ref="C23:F23"/>
    <mergeCell ref="C25:K25"/>
    <mergeCell ref="D53:K53"/>
    <mergeCell ref="D48:K48"/>
    <mergeCell ref="D46:K46"/>
    <mergeCell ref="D49:K49"/>
    <mergeCell ref="D47:K47"/>
    <mergeCell ref="D33:K33"/>
    <mergeCell ref="C29:L29"/>
    <mergeCell ref="C37:L37"/>
    <mergeCell ref="D39:K39"/>
  </mergeCells>
  <phoneticPr fontId="0" type="noConversion"/>
  <dataValidations count="4">
    <dataValidation type="list" allowBlank="1" showInputMessage="1" showErrorMessage="1" sqref="L19 L25" xr:uid="{00000000-0002-0000-2A00-000000000000}">
      <formula1>$Q$1:$Q$2</formula1>
    </dataValidation>
    <dataValidation type="list" allowBlank="1" showInputMessage="1" showErrorMessage="1" sqref="L5" xr:uid="{00000000-0002-0000-2A00-000001000000}">
      <formula1>$P$1:$P$2</formula1>
    </dataValidation>
    <dataValidation type="list" allowBlank="1" showInputMessage="1" showErrorMessage="1" sqref="G23:H23" xr:uid="{00000000-0002-0000-2A00-000002000000}">
      <formula1>$Q$64:$Q$118</formula1>
    </dataValidation>
    <dataValidation type="list" errorStyle="warning" showInputMessage="1" showErrorMessage="1" errorTitle="SmartDox" error="The value you entered for the dropdown is not valid." sqref="P49 P61 P57:P59 P55" xr:uid="{B2DBC9E7-B618-466D-8961-55C2E4554188}">
      <formula1>SD_D_PL_TCDealFeeType_Name</formula1>
    </dataValidation>
  </dataValidations>
  <pageMargins left="0.75" right="0.5" top="0.5" bottom="0.75" header="0" footer="0.5"/>
  <pageSetup scale="80" firstPageNumber="27" orientation="portrait" verticalDpi="300" r:id="rId1"/>
  <headerFooter alignWithMargins="0">
    <oddFooter>&amp;C&amp;A&amp;R&amp;D &amp;T</oddFooter>
  </headerFooter>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39">
    <pageSetUpPr fitToPage="1"/>
  </sheetPr>
  <dimension ref="A1:AD22"/>
  <sheetViews>
    <sheetView workbookViewId="0"/>
  </sheetViews>
  <sheetFormatPr defaultColWidth="9.7109375" defaultRowHeight="12.75"/>
  <cols>
    <col min="1" max="1" width="6.7109375" style="12" customWidth="1"/>
    <col min="2" max="2" width="2.7109375" style="202" customWidth="1"/>
    <col min="3" max="3" width="16.7109375" style="202" customWidth="1"/>
    <col min="4" max="6" width="10.7109375" style="202" customWidth="1"/>
    <col min="7" max="10" width="14.7109375" style="202" customWidth="1"/>
    <col min="11" max="11" width="9.7109375" style="4"/>
    <col min="12" max="12" width="5.7109375" style="6" customWidth="1"/>
    <col min="13" max="13" width="6.7109375" style="12" hidden="1" customWidth="1"/>
    <col min="14" max="14" width="2.7109375" style="202" hidden="1" customWidth="1"/>
    <col min="15" max="15" width="16.7109375" style="202" hidden="1" customWidth="1"/>
    <col min="16" max="16" width="10.7109375" style="202" hidden="1" customWidth="1"/>
    <col min="17" max="22" width="11.7109375" style="202" hidden="1" customWidth="1"/>
    <col min="23" max="23" width="5.7109375" style="6" customWidth="1"/>
    <col min="24" max="24" width="20.7109375" style="202" customWidth="1"/>
    <col min="25" max="25" width="18.7109375" style="202" customWidth="1"/>
    <col min="26" max="16384" width="9.7109375" style="4"/>
  </cols>
  <sheetData>
    <row r="1" spans="1:30" s="814" customFormat="1">
      <c r="A1" s="1302" t="str">
        <f>IF('FORM 1040-1'!D15="","",'FORM 1040-1'!D15)</f>
        <v/>
      </c>
      <c r="B1" s="1306"/>
      <c r="C1" s="1306"/>
      <c r="D1" s="1306"/>
      <c r="E1" s="1306"/>
      <c r="F1" s="1306"/>
      <c r="G1" s="1306"/>
      <c r="H1" s="1306"/>
      <c r="I1" s="1306"/>
      <c r="J1" s="1294" t="str">
        <f>IF('FORM 1040-1'!$E$12="","",'FORM 1040-1'!$E$12)</f>
        <v/>
      </c>
      <c r="L1" s="6"/>
      <c r="M1" s="801"/>
      <c r="N1" s="802"/>
      <c r="O1" s="802"/>
      <c r="P1" s="802"/>
      <c r="Q1" s="802"/>
      <c r="R1" s="802"/>
      <c r="S1" s="802"/>
      <c r="T1" s="802"/>
      <c r="U1" s="802"/>
      <c r="V1" s="802"/>
      <c r="W1" s="6"/>
      <c r="X1" s="802"/>
      <c r="Y1" s="802"/>
    </row>
    <row r="2" spans="1:30" s="814" customFormat="1">
      <c r="A2" s="801"/>
      <c r="B2" s="802"/>
      <c r="C2" s="802"/>
      <c r="D2" s="802"/>
      <c r="E2" s="802"/>
      <c r="F2" s="802"/>
      <c r="G2" s="802"/>
      <c r="H2" s="802"/>
      <c r="I2" s="802"/>
      <c r="J2" s="802"/>
      <c r="L2" s="6"/>
      <c r="M2" s="801"/>
      <c r="N2" s="802"/>
      <c r="O2" s="802"/>
      <c r="P2" s="802"/>
      <c r="Q2" s="802"/>
      <c r="R2" s="802"/>
      <c r="S2" s="802"/>
      <c r="T2" s="802"/>
      <c r="U2" s="802"/>
      <c r="V2" s="802"/>
      <c r="W2" s="6"/>
      <c r="X2" s="802"/>
      <c r="Y2" s="802"/>
    </row>
    <row r="3" spans="1:30" ht="18.75">
      <c r="A3" s="1704" t="s">
        <v>2459</v>
      </c>
      <c r="B3" s="1704"/>
      <c r="C3" s="1704"/>
      <c r="D3" s="1704"/>
      <c r="E3" s="1704"/>
      <c r="F3" s="1704"/>
      <c r="G3" s="1704"/>
      <c r="H3" s="1704"/>
      <c r="I3" s="1704"/>
      <c r="J3" s="1704"/>
      <c r="M3" s="1672" t="s">
        <v>1489</v>
      </c>
      <c r="N3" s="1672"/>
      <c r="O3" s="1672"/>
      <c r="P3" s="1672"/>
      <c r="Q3" s="1672"/>
      <c r="R3" s="1672"/>
      <c r="S3" s="1672"/>
      <c r="T3" s="1672"/>
      <c r="U3" s="1672"/>
      <c r="V3" s="1672"/>
      <c r="X3" s="103"/>
      <c r="Y3" s="103"/>
      <c r="Z3" s="103"/>
      <c r="AA3" s="103"/>
      <c r="AB3" s="103"/>
      <c r="AC3" s="103"/>
      <c r="AD3" s="103"/>
    </row>
    <row r="4" spans="1:30" ht="12" customHeight="1"/>
    <row r="5" spans="1:30" s="202" customFormat="1" ht="15" customHeight="1">
      <c r="A5" s="12" t="s">
        <v>922</v>
      </c>
      <c r="B5" s="2095" t="s">
        <v>930</v>
      </c>
      <c r="C5" s="2095"/>
      <c r="D5" s="2095"/>
      <c r="E5" s="2095"/>
      <c r="F5" s="2095"/>
      <c r="G5" s="2095"/>
      <c r="H5" s="2095"/>
      <c r="I5" s="2095"/>
      <c r="J5" s="2095"/>
      <c r="L5" s="270"/>
      <c r="M5" s="12" t="s">
        <v>922</v>
      </c>
      <c r="N5" s="2095" t="s">
        <v>930</v>
      </c>
      <c r="O5" s="2095"/>
      <c r="P5" s="2095"/>
      <c r="Q5" s="2095"/>
      <c r="R5" s="2095"/>
      <c r="S5" s="2095"/>
      <c r="T5" s="2095"/>
      <c r="U5" s="2095"/>
      <c r="V5" s="2095"/>
      <c r="W5" s="270"/>
    </row>
    <row r="6" spans="1:30" s="202" customFormat="1" ht="12" customHeight="1" thickBot="1">
      <c r="A6" s="12"/>
      <c r="L6" s="270"/>
      <c r="M6" s="12"/>
      <c r="W6" s="270"/>
    </row>
    <row r="7" spans="1:30" s="202" customFormat="1" ht="14.25" customHeight="1" thickTop="1" thickBot="1">
      <c r="A7" s="12"/>
      <c r="G7" s="478" t="s">
        <v>6</v>
      </c>
      <c r="H7" s="478" t="s">
        <v>7</v>
      </c>
      <c r="I7" s="478" t="s">
        <v>8</v>
      </c>
      <c r="J7" s="233" t="s">
        <v>9</v>
      </c>
      <c r="L7" s="270"/>
      <c r="M7" s="12"/>
      <c r="S7" s="478" t="s">
        <v>6</v>
      </c>
      <c r="T7" s="478" t="s">
        <v>7</v>
      </c>
      <c r="U7" s="478" t="s">
        <v>8</v>
      </c>
      <c r="V7" s="233" t="s">
        <v>9</v>
      </c>
      <c r="W7" s="270"/>
    </row>
    <row r="8" spans="1:30" s="202" customFormat="1" ht="18" customHeight="1" thickTop="1">
      <c r="A8" s="12"/>
      <c r="B8" s="1099" t="s">
        <v>107</v>
      </c>
      <c r="C8" s="2238" t="s">
        <v>925</v>
      </c>
      <c r="D8" s="2239"/>
      <c r="E8" s="2239"/>
      <c r="F8" s="2240"/>
      <c r="G8" s="480"/>
      <c r="H8" s="480"/>
      <c r="I8" s="480"/>
      <c r="J8" s="480"/>
      <c r="L8" s="270"/>
      <c r="M8" s="12"/>
      <c r="N8" s="479" t="s">
        <v>106</v>
      </c>
      <c r="O8" s="2238" t="s">
        <v>925</v>
      </c>
      <c r="P8" s="2239"/>
      <c r="Q8" s="2239"/>
      <c r="R8" s="2240"/>
      <c r="S8" s="481" t="str">
        <f t="shared" ref="S8:V9" si="0">IF(G8="","",(G8))</f>
        <v/>
      </c>
      <c r="T8" s="481" t="str">
        <f t="shared" si="0"/>
        <v/>
      </c>
      <c r="U8" s="481" t="str">
        <f t="shared" si="0"/>
        <v/>
      </c>
      <c r="V8" s="481" t="str">
        <f t="shared" si="0"/>
        <v/>
      </c>
      <c r="W8" s="270"/>
    </row>
    <row r="9" spans="1:30" s="202" customFormat="1" ht="18" customHeight="1" thickBot="1">
      <c r="A9" s="12"/>
      <c r="B9" s="1094" t="s">
        <v>109</v>
      </c>
      <c r="C9" s="2241" t="s">
        <v>926</v>
      </c>
      <c r="D9" s="2242"/>
      <c r="E9" s="2242"/>
      <c r="F9" s="2243"/>
      <c r="G9" s="482"/>
      <c r="H9" s="482"/>
      <c r="I9" s="482"/>
      <c r="J9" s="483"/>
      <c r="L9" s="270"/>
      <c r="M9" s="12"/>
      <c r="N9" s="479" t="s">
        <v>107</v>
      </c>
      <c r="O9" s="2241" t="s">
        <v>926</v>
      </c>
      <c r="P9" s="2242"/>
      <c r="Q9" s="2242"/>
      <c r="R9" s="2243"/>
      <c r="S9" s="484" t="str">
        <f t="shared" si="0"/>
        <v/>
      </c>
      <c r="T9" s="484" t="str">
        <f t="shared" si="0"/>
        <v/>
      </c>
      <c r="U9" s="484" t="str">
        <f t="shared" si="0"/>
        <v/>
      </c>
      <c r="V9" s="485" t="str">
        <f t="shared" si="0"/>
        <v/>
      </c>
      <c r="W9" s="270"/>
    </row>
    <row r="10" spans="1:30" s="202" customFormat="1" ht="15" customHeight="1" thickTop="1" thickBot="1">
      <c r="A10" s="12"/>
      <c r="L10" s="270"/>
      <c r="M10" s="12"/>
      <c r="W10" s="270"/>
    </row>
    <row r="11" spans="1:30" s="202" customFormat="1" ht="14.25" customHeight="1" thickTop="1" thickBot="1">
      <c r="A11" s="12"/>
      <c r="G11" s="478" t="s">
        <v>10</v>
      </c>
      <c r="H11" s="478" t="s">
        <v>11</v>
      </c>
      <c r="I11" s="478" t="s">
        <v>323</v>
      </c>
      <c r="J11" s="233" t="s">
        <v>324</v>
      </c>
      <c r="L11" s="270"/>
      <c r="M11" s="12"/>
      <c r="S11" s="478" t="s">
        <v>10</v>
      </c>
      <c r="T11" s="478" t="s">
        <v>11</v>
      </c>
      <c r="U11" s="478" t="s">
        <v>323</v>
      </c>
      <c r="V11" s="233" t="s">
        <v>324</v>
      </c>
      <c r="W11" s="270"/>
    </row>
    <row r="12" spans="1:30" s="202" customFormat="1" ht="18" customHeight="1" thickTop="1">
      <c r="A12" s="12"/>
      <c r="B12" s="1099" t="s">
        <v>107</v>
      </c>
      <c r="C12" s="2238" t="s">
        <v>925</v>
      </c>
      <c r="D12" s="2239"/>
      <c r="E12" s="2239"/>
      <c r="F12" s="2240"/>
      <c r="G12" s="480"/>
      <c r="H12" s="480"/>
      <c r="I12" s="480"/>
      <c r="J12" s="480"/>
      <c r="L12" s="270"/>
      <c r="M12" s="12"/>
      <c r="N12" s="479" t="s">
        <v>106</v>
      </c>
      <c r="O12" s="2238" t="s">
        <v>925</v>
      </c>
      <c r="P12" s="2239"/>
      <c r="Q12" s="2239"/>
      <c r="R12" s="2240"/>
      <c r="S12" s="481" t="str">
        <f t="shared" ref="S12:V13" si="1">IF(G12="","",(G12))</f>
        <v/>
      </c>
      <c r="T12" s="481" t="str">
        <f t="shared" si="1"/>
        <v/>
      </c>
      <c r="U12" s="481" t="str">
        <f t="shared" si="1"/>
        <v/>
      </c>
      <c r="V12" s="481" t="str">
        <f t="shared" si="1"/>
        <v/>
      </c>
      <c r="W12" s="270"/>
    </row>
    <row r="13" spans="1:30" s="202" customFormat="1" ht="18" customHeight="1" thickBot="1">
      <c r="A13" s="12"/>
      <c r="B13" s="1094" t="s">
        <v>109</v>
      </c>
      <c r="C13" s="2241" t="s">
        <v>926</v>
      </c>
      <c r="D13" s="2242"/>
      <c r="E13" s="2242"/>
      <c r="F13" s="2243"/>
      <c r="G13" s="482"/>
      <c r="H13" s="482"/>
      <c r="I13" s="482"/>
      <c r="J13" s="483"/>
      <c r="L13" s="270"/>
      <c r="M13" s="12"/>
      <c r="N13" s="479" t="s">
        <v>107</v>
      </c>
      <c r="O13" s="2241" t="s">
        <v>926</v>
      </c>
      <c r="P13" s="2242"/>
      <c r="Q13" s="2242"/>
      <c r="R13" s="2243"/>
      <c r="S13" s="484" t="str">
        <f t="shared" si="1"/>
        <v/>
      </c>
      <c r="T13" s="484" t="str">
        <f t="shared" si="1"/>
        <v/>
      </c>
      <c r="U13" s="484" t="str">
        <f t="shared" si="1"/>
        <v/>
      </c>
      <c r="V13" s="485" t="str">
        <f t="shared" si="1"/>
        <v/>
      </c>
      <c r="W13" s="270"/>
    </row>
    <row r="14" spans="1:30" s="202" customFormat="1" ht="15" customHeight="1" thickTop="1" thickBot="1">
      <c r="A14" s="12"/>
      <c r="L14" s="270"/>
      <c r="M14" s="12"/>
      <c r="W14" s="270"/>
    </row>
    <row r="15" spans="1:30" s="202" customFormat="1" ht="14.25" customHeight="1" thickTop="1" thickBot="1">
      <c r="A15" s="12"/>
      <c r="G15" s="478" t="s">
        <v>325</v>
      </c>
      <c r="H15" s="478" t="s">
        <v>326</v>
      </c>
      <c r="I15" s="478" t="s">
        <v>327</v>
      </c>
      <c r="J15" s="233" t="s">
        <v>328</v>
      </c>
      <c r="L15" s="270"/>
      <c r="M15" s="12"/>
      <c r="S15" s="478" t="s">
        <v>325</v>
      </c>
      <c r="T15" s="478" t="s">
        <v>326</v>
      </c>
      <c r="U15" s="478" t="s">
        <v>327</v>
      </c>
      <c r="V15" s="233" t="s">
        <v>328</v>
      </c>
      <c r="W15" s="270"/>
    </row>
    <row r="16" spans="1:30" s="202" customFormat="1" ht="18" customHeight="1" thickTop="1">
      <c r="A16" s="12"/>
      <c r="B16" s="1099" t="s">
        <v>107</v>
      </c>
      <c r="C16" s="2238" t="s">
        <v>925</v>
      </c>
      <c r="D16" s="2239"/>
      <c r="E16" s="2239"/>
      <c r="F16" s="2240"/>
      <c r="G16" s="480"/>
      <c r="H16" s="480"/>
      <c r="I16" s="480"/>
      <c r="J16" s="480"/>
      <c r="L16" s="270"/>
      <c r="M16" s="12"/>
      <c r="N16" s="479" t="s">
        <v>106</v>
      </c>
      <c r="O16" s="2238" t="s">
        <v>925</v>
      </c>
      <c r="P16" s="2239"/>
      <c r="Q16" s="2239"/>
      <c r="R16" s="2240"/>
      <c r="S16" s="481" t="str">
        <f t="shared" ref="S16:V17" si="2">IF(G16="","",(G16))</f>
        <v/>
      </c>
      <c r="T16" s="481" t="str">
        <f t="shared" si="2"/>
        <v/>
      </c>
      <c r="U16" s="481" t="str">
        <f t="shared" si="2"/>
        <v/>
      </c>
      <c r="V16" s="481" t="str">
        <f t="shared" si="2"/>
        <v/>
      </c>
      <c r="W16" s="270"/>
    </row>
    <row r="17" spans="1:23" s="202" customFormat="1" ht="18" customHeight="1" thickBot="1">
      <c r="A17" s="12"/>
      <c r="B17" s="1094" t="s">
        <v>109</v>
      </c>
      <c r="C17" s="2241" t="s">
        <v>926</v>
      </c>
      <c r="D17" s="2242"/>
      <c r="E17" s="2242"/>
      <c r="F17" s="2243"/>
      <c r="G17" s="482"/>
      <c r="H17" s="482"/>
      <c r="I17" s="482"/>
      <c r="J17" s="483"/>
      <c r="L17" s="270"/>
      <c r="M17" s="12"/>
      <c r="N17" s="479" t="s">
        <v>107</v>
      </c>
      <c r="O17" s="2241" t="s">
        <v>926</v>
      </c>
      <c r="P17" s="2242"/>
      <c r="Q17" s="2242"/>
      <c r="R17" s="2243"/>
      <c r="S17" s="484" t="str">
        <f t="shared" si="2"/>
        <v/>
      </c>
      <c r="T17" s="484" t="str">
        <f t="shared" si="2"/>
        <v/>
      </c>
      <c r="U17" s="484" t="str">
        <f t="shared" si="2"/>
        <v/>
      </c>
      <c r="V17" s="485" t="str">
        <f t="shared" si="2"/>
        <v/>
      </c>
      <c r="W17" s="270"/>
    </row>
    <row r="18" spans="1:23" s="202" customFormat="1" ht="15" customHeight="1" thickTop="1" thickBot="1">
      <c r="A18" s="12"/>
      <c r="L18" s="270"/>
      <c r="M18" s="12"/>
      <c r="W18" s="270"/>
    </row>
    <row r="19" spans="1:23" s="202" customFormat="1" ht="14.25" customHeight="1" thickTop="1" thickBot="1">
      <c r="A19" s="12"/>
      <c r="G19" s="478" t="s">
        <v>329</v>
      </c>
      <c r="H19" s="478" t="s">
        <v>330</v>
      </c>
      <c r="I19" s="478" t="s">
        <v>331</v>
      </c>
      <c r="J19" s="332"/>
      <c r="L19" s="270"/>
      <c r="M19" s="12"/>
      <c r="S19" s="478" t="s">
        <v>329</v>
      </c>
      <c r="T19" s="478" t="s">
        <v>330</v>
      </c>
      <c r="U19" s="478" t="s">
        <v>331</v>
      </c>
      <c r="V19" s="332"/>
      <c r="W19" s="270"/>
    </row>
    <row r="20" spans="1:23" s="202" customFormat="1" ht="18" customHeight="1" thickTop="1">
      <c r="A20" s="12"/>
      <c r="B20" s="1099" t="s">
        <v>107</v>
      </c>
      <c r="C20" s="2238" t="s">
        <v>925</v>
      </c>
      <c r="D20" s="2239"/>
      <c r="E20" s="2239"/>
      <c r="F20" s="2240"/>
      <c r="G20" s="480"/>
      <c r="H20" s="480"/>
      <c r="I20" s="480"/>
      <c r="J20" s="486"/>
      <c r="L20" s="270"/>
      <c r="M20" s="12"/>
      <c r="N20" s="479" t="s">
        <v>106</v>
      </c>
      <c r="O20" s="2238" t="s">
        <v>925</v>
      </c>
      <c r="P20" s="2239"/>
      <c r="Q20" s="2239"/>
      <c r="R20" s="2240"/>
      <c r="S20" s="481" t="str">
        <f t="shared" ref="S20:U21" si="3">IF(G20="","",(G20))</f>
        <v/>
      </c>
      <c r="T20" s="481" t="str">
        <f t="shared" si="3"/>
        <v/>
      </c>
      <c r="U20" s="481" t="str">
        <f t="shared" si="3"/>
        <v/>
      </c>
      <c r="V20" s="486"/>
      <c r="W20" s="270"/>
    </row>
    <row r="21" spans="1:23" s="202" customFormat="1" ht="18" customHeight="1" thickBot="1">
      <c r="A21" s="12"/>
      <c r="B21" s="1094" t="s">
        <v>109</v>
      </c>
      <c r="C21" s="2241" t="s">
        <v>926</v>
      </c>
      <c r="D21" s="2242"/>
      <c r="E21" s="2242"/>
      <c r="F21" s="2243"/>
      <c r="G21" s="482"/>
      <c r="H21" s="482"/>
      <c r="I21" s="482"/>
      <c r="J21" s="486"/>
      <c r="L21" s="270"/>
      <c r="M21" s="12"/>
      <c r="N21" s="479" t="s">
        <v>107</v>
      </c>
      <c r="O21" s="2241" t="s">
        <v>926</v>
      </c>
      <c r="P21" s="2242"/>
      <c r="Q21" s="2242"/>
      <c r="R21" s="2243"/>
      <c r="S21" s="484" t="str">
        <f t="shared" si="3"/>
        <v/>
      </c>
      <c r="T21" s="484" t="str">
        <f t="shared" si="3"/>
        <v/>
      </c>
      <c r="U21" s="484" t="str">
        <f t="shared" si="3"/>
        <v/>
      </c>
      <c r="V21" s="486"/>
      <c r="W21" s="270"/>
    </row>
    <row r="22" spans="1:23" ht="13.5" thickTop="1"/>
  </sheetData>
  <sheetProtection algorithmName="SHA-512" hashValue="dbmjCBRnqRJVU9UTo3AkkejZb1zpksePmgbyYn1Litd1Jn07iXuUiDOX4a7vP2veXIzo9bnXWYUZ23DRyHxa1g==" saltValue="voUGV9SYEbO/xyGBx7qfig==" spinCount="100000" sheet="1" objects="1" scenarios="1"/>
  <mergeCells count="20">
    <mergeCell ref="C13:F13"/>
    <mergeCell ref="C16:F16"/>
    <mergeCell ref="C17:F17"/>
    <mergeCell ref="C20:F20"/>
    <mergeCell ref="C21:F21"/>
    <mergeCell ref="A3:J3"/>
    <mergeCell ref="B5:J5"/>
    <mergeCell ref="C8:F8"/>
    <mergeCell ref="C9:F9"/>
    <mergeCell ref="C12:F12"/>
    <mergeCell ref="O21:R21"/>
    <mergeCell ref="O12:R12"/>
    <mergeCell ref="O13:R13"/>
    <mergeCell ref="O16:R16"/>
    <mergeCell ref="O17:R17"/>
    <mergeCell ref="M3:V3"/>
    <mergeCell ref="N5:V5"/>
    <mergeCell ref="O8:R8"/>
    <mergeCell ref="O9:R9"/>
    <mergeCell ref="O20:R20"/>
  </mergeCells>
  <pageMargins left="0.75" right="0.5" top="0.5" bottom="0.75" header="0" footer="0.5"/>
  <pageSetup scale="80" firstPageNumber="27" orientation="portrait" verticalDpi="300" r:id="rId1"/>
  <headerFooter alignWithMargins="0">
    <oddFooter>&amp;C&amp;A&amp;R&amp;D &amp;T</oddFooter>
  </headerFooter>
  <legacy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0">
    <pageSetUpPr fitToPage="1"/>
  </sheetPr>
  <dimension ref="A1:M164"/>
  <sheetViews>
    <sheetView workbookViewId="0"/>
  </sheetViews>
  <sheetFormatPr defaultColWidth="10.7109375" defaultRowHeight="12.75"/>
  <cols>
    <col min="1" max="1" width="4.85546875" style="202" customWidth="1"/>
    <col min="2" max="2" width="2.28515625" style="202" customWidth="1"/>
    <col min="3" max="3" width="2.7109375" style="202" customWidth="1"/>
    <col min="4" max="4" width="6.7109375" style="202" customWidth="1"/>
    <col min="5" max="6" width="9.7109375" style="202" customWidth="1"/>
    <col min="7" max="7" width="21.5703125" style="202" customWidth="1"/>
    <col min="8" max="8" width="2.28515625" style="202" customWidth="1"/>
    <col min="9" max="9" width="6.7109375" style="202" customWidth="1"/>
    <col min="10" max="10" width="5.7109375" style="202" customWidth="1"/>
    <col min="11" max="11" width="23.28515625" style="202" customWidth="1"/>
    <col min="12" max="12" width="28.7109375" style="202" customWidth="1"/>
    <col min="13" max="13" width="4.7109375" style="4" customWidth="1"/>
    <col min="14" max="14" width="12.140625" style="4" customWidth="1"/>
    <col min="15" max="21" width="10.7109375" style="4" customWidth="1"/>
    <col min="22" max="16384" width="10.7109375" style="4"/>
  </cols>
  <sheetData>
    <row r="1" spans="1:12" s="814" customFormat="1">
      <c r="A1" s="1302" t="str">
        <f>IF('FORM 1040-1'!D15="","",'FORM 1040-1'!D15)</f>
        <v/>
      </c>
      <c r="B1" s="1306"/>
      <c r="C1" s="1306"/>
      <c r="D1" s="1306"/>
      <c r="E1" s="1306"/>
      <c r="F1" s="1306"/>
      <c r="G1" s="1306"/>
      <c r="H1" s="1306"/>
      <c r="I1" s="1306"/>
      <c r="J1" s="1306"/>
      <c r="K1" s="1306"/>
      <c r="L1" s="1294" t="str">
        <f>IF('FORM 1040-1'!$E$12="","",'FORM 1040-1'!$E$12)</f>
        <v/>
      </c>
    </row>
    <row r="2" spans="1:12" s="814" customFormat="1">
      <c r="A2" s="802"/>
      <c r="B2" s="802"/>
      <c r="C2" s="802"/>
      <c r="D2" s="802"/>
      <c r="E2" s="802"/>
      <c r="F2" s="802"/>
      <c r="G2" s="802"/>
      <c r="H2" s="802"/>
      <c r="I2" s="802"/>
      <c r="J2" s="802"/>
      <c r="K2" s="802"/>
      <c r="L2" s="802"/>
    </row>
    <row r="3" spans="1:12" ht="15" customHeight="1">
      <c r="A3" s="1169" t="s">
        <v>2886</v>
      </c>
      <c r="B3" s="202" t="s">
        <v>933</v>
      </c>
      <c r="F3" s="308"/>
      <c r="J3" s="4"/>
      <c r="K3" s="4"/>
      <c r="L3" s="4"/>
    </row>
    <row r="4" spans="1:12" ht="6" customHeight="1">
      <c r="F4" s="308"/>
      <c r="J4" s="4"/>
      <c r="K4" s="4"/>
      <c r="L4" s="4"/>
    </row>
    <row r="5" spans="1:12" ht="26.1" customHeight="1">
      <c r="B5" s="207" t="s">
        <v>53</v>
      </c>
      <c r="C5" s="1752" t="s">
        <v>2216</v>
      </c>
      <c r="D5" s="1752"/>
      <c r="E5" s="1752"/>
      <c r="F5" s="1752"/>
      <c r="G5" s="1752"/>
      <c r="H5" s="1752"/>
      <c r="I5" s="1752"/>
      <c r="J5" s="1752"/>
      <c r="K5" s="1752"/>
      <c r="L5" s="1752"/>
    </row>
    <row r="6" spans="1:12" ht="6" customHeight="1">
      <c r="C6" s="1113"/>
      <c r="D6" s="80"/>
      <c r="E6" s="207"/>
      <c r="F6" s="1114"/>
      <c r="G6" s="207"/>
      <c r="H6" s="207"/>
      <c r="I6" s="207"/>
      <c r="J6" s="80"/>
      <c r="K6" s="80"/>
      <c r="L6" s="80"/>
    </row>
    <row r="7" spans="1:12" ht="38.450000000000003" customHeight="1">
      <c r="B7" s="207" t="s">
        <v>54</v>
      </c>
      <c r="C7" s="1752" t="s">
        <v>4</v>
      </c>
      <c r="D7" s="2244"/>
      <c r="E7" s="2244"/>
      <c r="F7" s="2244"/>
      <c r="G7" s="2244"/>
      <c r="H7" s="2244"/>
      <c r="I7" s="2244"/>
      <c r="J7" s="2244"/>
      <c r="K7" s="2244"/>
      <c r="L7" s="2244"/>
    </row>
    <row r="8" spans="1:12" ht="6" customHeight="1">
      <c r="C8" s="1113"/>
      <c r="D8" s="80"/>
      <c r="E8" s="207"/>
      <c r="F8" s="1114"/>
      <c r="G8" s="207"/>
      <c r="H8" s="207"/>
      <c r="I8" s="207"/>
      <c r="J8" s="80"/>
      <c r="K8" s="80"/>
      <c r="L8" s="80"/>
    </row>
    <row r="9" spans="1:12" ht="26.1" customHeight="1">
      <c r="B9" s="207" t="s">
        <v>55</v>
      </c>
      <c r="C9" s="1752" t="s">
        <v>313</v>
      </c>
      <c r="D9" s="2244"/>
      <c r="E9" s="2244"/>
      <c r="F9" s="2244"/>
      <c r="G9" s="2244"/>
      <c r="H9" s="2244"/>
      <c r="I9" s="2244"/>
      <c r="J9" s="2244"/>
      <c r="K9" s="2244"/>
      <c r="L9" s="2244"/>
    </row>
    <row r="10" spans="1:12" ht="6" customHeight="1">
      <c r="C10" s="1048"/>
      <c r="D10" s="80"/>
      <c r="E10" s="1054"/>
      <c r="F10" s="1054"/>
      <c r="G10" s="1054"/>
      <c r="H10" s="1054"/>
      <c r="I10" s="1054"/>
      <c r="J10" s="80"/>
      <c r="K10" s="80"/>
      <c r="L10" s="80"/>
    </row>
    <row r="11" spans="1:12" ht="38.450000000000003" customHeight="1">
      <c r="B11" s="207" t="s">
        <v>56</v>
      </c>
      <c r="C11" s="1752" t="s">
        <v>314</v>
      </c>
      <c r="D11" s="2244"/>
      <c r="E11" s="2244"/>
      <c r="F11" s="2244"/>
      <c r="G11" s="2244"/>
      <c r="H11" s="2244"/>
      <c r="I11" s="2244"/>
      <c r="J11" s="2244"/>
      <c r="K11" s="2244"/>
      <c r="L11" s="2244"/>
    </row>
    <row r="12" spans="1:12" ht="6" customHeight="1">
      <c r="C12" s="1113"/>
      <c r="D12" s="80"/>
      <c r="E12" s="207"/>
      <c r="F12" s="1114"/>
      <c r="G12" s="207"/>
      <c r="H12" s="207"/>
      <c r="I12" s="207"/>
      <c r="J12" s="80"/>
      <c r="K12" s="80"/>
      <c r="L12" s="80"/>
    </row>
    <row r="13" spans="1:12" ht="26.1" customHeight="1">
      <c r="B13" s="207" t="s">
        <v>105</v>
      </c>
      <c r="C13" s="1752" t="s">
        <v>2236</v>
      </c>
      <c r="D13" s="2244"/>
      <c r="E13" s="2244"/>
      <c r="F13" s="2244"/>
      <c r="G13" s="2244"/>
      <c r="H13" s="2244"/>
      <c r="I13" s="2244"/>
      <c r="J13" s="2244"/>
      <c r="K13" s="2244"/>
      <c r="L13" s="2244"/>
    </row>
    <row r="14" spans="1:12" ht="6" customHeight="1">
      <c r="B14" s="207"/>
      <c r="C14" s="1048"/>
      <c r="D14" s="1115"/>
      <c r="E14" s="1115"/>
      <c r="F14" s="1115"/>
      <c r="G14" s="1115"/>
      <c r="H14" s="1115"/>
      <c r="I14" s="1115"/>
      <c r="J14" s="1115"/>
      <c r="K14" s="1115"/>
      <c r="L14" s="1115"/>
    </row>
    <row r="15" spans="1:12" ht="26.1" customHeight="1">
      <c r="B15" s="207" t="s">
        <v>106</v>
      </c>
      <c r="C15" s="1752" t="s">
        <v>1461</v>
      </c>
      <c r="D15" s="2244"/>
      <c r="E15" s="2244"/>
      <c r="F15" s="2244"/>
      <c r="G15" s="2244"/>
      <c r="H15" s="2244"/>
      <c r="I15" s="2244"/>
      <c r="J15" s="2244"/>
      <c r="K15" s="2244"/>
      <c r="L15" s="2244"/>
    </row>
    <row r="16" spans="1:12" ht="6" customHeight="1">
      <c r="C16" s="1113"/>
      <c r="D16" s="80"/>
      <c r="E16" s="207"/>
      <c r="F16" s="1114"/>
      <c r="G16" s="207"/>
      <c r="H16" s="207"/>
      <c r="I16" s="207"/>
      <c r="J16" s="80"/>
      <c r="K16" s="80"/>
      <c r="L16" s="80"/>
    </row>
    <row r="17" spans="1:12" ht="38.450000000000003" customHeight="1">
      <c r="B17" s="207" t="s">
        <v>107</v>
      </c>
      <c r="C17" s="1752" t="s">
        <v>934</v>
      </c>
      <c r="D17" s="2244"/>
      <c r="E17" s="2244"/>
      <c r="F17" s="2244"/>
      <c r="G17" s="2244"/>
      <c r="H17" s="2244"/>
      <c r="I17" s="2244"/>
      <c r="J17" s="2244"/>
      <c r="K17" s="2244"/>
      <c r="L17" s="2244"/>
    </row>
    <row r="18" spans="1:12" ht="6" customHeight="1">
      <c r="C18" s="1113"/>
      <c r="D18" s="80"/>
      <c r="E18" s="207"/>
      <c r="F18" s="207"/>
      <c r="G18" s="207"/>
      <c r="H18" s="207"/>
      <c r="I18" s="207"/>
      <c r="J18" s="80"/>
      <c r="K18" s="80"/>
      <c r="L18" s="80"/>
    </row>
    <row r="19" spans="1:12" ht="15" customHeight="1">
      <c r="B19" s="1083" t="s">
        <v>109</v>
      </c>
      <c r="C19" s="1656" t="s">
        <v>2226</v>
      </c>
      <c r="D19" s="2213"/>
      <c r="E19" s="2213"/>
      <c r="F19" s="2213"/>
      <c r="G19" s="2213"/>
      <c r="H19" s="2213"/>
      <c r="I19" s="2213"/>
      <c r="J19" s="2213"/>
      <c r="K19" s="2213"/>
      <c r="L19" s="2213"/>
    </row>
    <row r="20" spans="1:12" ht="6" customHeight="1">
      <c r="C20" s="1113"/>
      <c r="D20" s="80"/>
      <c r="E20" s="207"/>
      <c r="F20" s="207"/>
      <c r="G20" s="207"/>
      <c r="H20" s="207"/>
      <c r="I20" s="207"/>
      <c r="J20" s="207"/>
      <c r="K20" s="207"/>
      <c r="L20" s="207"/>
    </row>
    <row r="21" spans="1:12" ht="51.95" customHeight="1">
      <c r="A21" s="80"/>
      <c r="B21" s="207" t="s">
        <v>42</v>
      </c>
      <c r="C21" s="1752" t="s">
        <v>2227</v>
      </c>
      <c r="D21" s="2244"/>
      <c r="E21" s="2244"/>
      <c r="F21" s="2244"/>
      <c r="G21" s="2244"/>
      <c r="H21" s="2244"/>
      <c r="I21" s="2244"/>
      <c r="J21" s="2244"/>
      <c r="K21" s="2244"/>
      <c r="L21" s="2244"/>
    </row>
    <row r="22" spans="1:12" ht="6" customHeight="1">
      <c r="C22" s="1113"/>
      <c r="D22" s="80"/>
      <c r="E22" s="207"/>
      <c r="F22" s="207"/>
      <c r="G22" s="207"/>
      <c r="H22" s="207"/>
      <c r="I22" s="207"/>
      <c r="J22" s="207"/>
      <c r="K22" s="207"/>
      <c r="L22" s="207"/>
    </row>
    <row r="23" spans="1:12" ht="26.1" customHeight="1">
      <c r="B23" s="207" t="s">
        <v>110</v>
      </c>
      <c r="C23" s="1752" t="s">
        <v>2266</v>
      </c>
      <c r="D23" s="2244"/>
      <c r="E23" s="2244"/>
      <c r="F23" s="2244"/>
      <c r="G23" s="2244"/>
      <c r="H23" s="2244"/>
      <c r="I23" s="2244"/>
      <c r="J23" s="2244"/>
      <c r="K23" s="2244"/>
      <c r="L23" s="2244"/>
    </row>
    <row r="24" spans="1:12" ht="6" customHeight="1">
      <c r="C24" s="1113"/>
      <c r="D24" s="80"/>
      <c r="E24" s="207"/>
      <c r="F24" s="207"/>
      <c r="G24" s="207"/>
      <c r="H24" s="207"/>
      <c r="I24" s="207"/>
      <c r="J24" s="207"/>
      <c r="K24" s="207"/>
      <c r="L24" s="207"/>
    </row>
    <row r="25" spans="1:12" ht="38.450000000000003" customHeight="1">
      <c r="A25" s="4"/>
      <c r="B25" s="207" t="s">
        <v>111</v>
      </c>
      <c r="C25" s="1752" t="s">
        <v>2261</v>
      </c>
      <c r="D25" s="2244"/>
      <c r="E25" s="2244"/>
      <c r="F25" s="2244"/>
      <c r="G25" s="2244"/>
      <c r="H25" s="2244"/>
      <c r="I25" s="2244"/>
      <c r="J25" s="2244"/>
      <c r="K25" s="2244"/>
      <c r="L25" s="2244"/>
    </row>
    <row r="26" spans="1:12" ht="6" customHeight="1">
      <c r="A26" s="207"/>
      <c r="B26" s="207"/>
      <c r="C26" s="1113"/>
      <c r="D26" s="80"/>
      <c r="E26" s="207"/>
      <c r="F26" s="207"/>
      <c r="G26" s="207"/>
      <c r="H26" s="207"/>
      <c r="I26" s="207"/>
      <c r="J26" s="207"/>
      <c r="K26" s="207"/>
      <c r="L26" s="207"/>
    </row>
    <row r="27" spans="1:12" ht="26.1" customHeight="1">
      <c r="A27" s="207"/>
      <c r="B27" s="207" t="s">
        <v>112</v>
      </c>
      <c r="C27" s="1752" t="s">
        <v>2228</v>
      </c>
      <c r="D27" s="2244"/>
      <c r="E27" s="2244"/>
      <c r="F27" s="2244"/>
      <c r="G27" s="2244"/>
      <c r="H27" s="2244"/>
      <c r="I27" s="2244"/>
      <c r="J27" s="2244"/>
      <c r="K27" s="2244"/>
      <c r="L27" s="2244"/>
    </row>
    <row r="28" spans="1:12" ht="6" customHeight="1">
      <c r="A28" s="207"/>
      <c r="B28" s="207"/>
      <c r="C28" s="1113"/>
      <c r="D28" s="80"/>
      <c r="E28" s="207"/>
      <c r="F28" s="207"/>
      <c r="G28" s="207"/>
      <c r="H28" s="207"/>
      <c r="I28" s="207"/>
      <c r="J28" s="207"/>
      <c r="K28" s="207"/>
      <c r="L28" s="207"/>
    </row>
    <row r="29" spans="1:12" ht="26.1" customHeight="1">
      <c r="A29" s="207"/>
      <c r="B29" s="207" t="s">
        <v>185</v>
      </c>
      <c r="C29" s="1752" t="s">
        <v>2204</v>
      </c>
      <c r="D29" s="2244"/>
      <c r="E29" s="2244"/>
      <c r="F29" s="2244"/>
      <c r="G29" s="2244"/>
      <c r="H29" s="2244"/>
      <c r="I29" s="2244"/>
      <c r="J29" s="2244"/>
      <c r="K29" s="2244"/>
      <c r="L29" s="2244"/>
    </row>
    <row r="30" spans="1:12" ht="6" customHeight="1">
      <c r="A30" s="207"/>
      <c r="B30" s="207"/>
      <c r="C30" s="1113"/>
      <c r="D30" s="80"/>
      <c r="E30" s="207"/>
      <c r="F30" s="207"/>
      <c r="G30" s="207"/>
      <c r="H30" s="207"/>
      <c r="I30" s="207"/>
      <c r="J30" s="207"/>
      <c r="K30" s="207"/>
      <c r="L30" s="207"/>
    </row>
    <row r="31" spans="1:12" ht="26.1" customHeight="1">
      <c r="A31" s="207"/>
      <c r="B31" s="207" t="s">
        <v>187</v>
      </c>
      <c r="C31" s="1752" t="s">
        <v>2205</v>
      </c>
      <c r="D31" s="2244"/>
      <c r="E31" s="2244"/>
      <c r="F31" s="2244"/>
      <c r="G31" s="2244"/>
      <c r="H31" s="2244"/>
      <c r="I31" s="2244"/>
      <c r="J31" s="2244"/>
      <c r="K31" s="2244"/>
      <c r="L31" s="2244"/>
    </row>
    <row r="32" spans="1:12" ht="6" customHeight="1">
      <c r="A32" s="207"/>
      <c r="B32" s="207"/>
      <c r="C32" s="1113"/>
      <c r="D32" s="80"/>
      <c r="E32" s="207"/>
      <c r="F32" s="207"/>
      <c r="G32" s="207"/>
      <c r="H32" s="207"/>
      <c r="I32" s="207"/>
      <c r="J32" s="207"/>
      <c r="K32" s="207"/>
      <c r="L32" s="207"/>
    </row>
    <row r="33" spans="1:13" s="1044" customFormat="1" ht="15" customHeight="1">
      <c r="A33" s="1045"/>
      <c r="B33" s="1045" t="s">
        <v>1459</v>
      </c>
      <c r="C33" s="1656" t="s">
        <v>2229</v>
      </c>
      <c r="D33" s="2213"/>
      <c r="E33" s="2213"/>
      <c r="F33" s="2213"/>
      <c r="G33" s="2213"/>
      <c r="H33" s="2213"/>
      <c r="I33" s="2213"/>
      <c r="J33" s="2213"/>
      <c r="K33" s="2213"/>
      <c r="L33" s="2213"/>
    </row>
    <row r="34" spans="1:13" ht="6" customHeight="1">
      <c r="A34" s="207"/>
      <c r="B34" s="207"/>
      <c r="C34" s="1113"/>
      <c r="D34" s="80"/>
      <c r="E34" s="207"/>
      <c r="F34" s="207"/>
      <c r="G34" s="207"/>
      <c r="H34" s="207"/>
      <c r="I34" s="207"/>
      <c r="J34" s="207"/>
      <c r="K34" s="207"/>
      <c r="L34" s="207"/>
    </row>
    <row r="35" spans="1:13" ht="26.1" customHeight="1">
      <c r="A35" s="207"/>
      <c r="B35" s="207" t="s">
        <v>1460</v>
      </c>
      <c r="C35" s="1752" t="s">
        <v>997</v>
      </c>
      <c r="D35" s="2244"/>
      <c r="E35" s="2244"/>
      <c r="F35" s="2244"/>
      <c r="G35" s="2244"/>
      <c r="H35" s="2244"/>
      <c r="I35" s="2244"/>
      <c r="J35" s="2244"/>
      <c r="K35" s="2244"/>
      <c r="L35" s="2244"/>
    </row>
    <row r="36" spans="1:13" ht="6" customHeight="1">
      <c r="D36" s="447"/>
      <c r="E36" s="447"/>
      <c r="F36" s="447"/>
      <c r="G36" s="447"/>
      <c r="H36" s="447"/>
      <c r="I36" s="447"/>
      <c r="J36" s="447"/>
      <c r="K36" s="447"/>
    </row>
    <row r="37" spans="1:13" ht="65.099999999999994" customHeight="1">
      <c r="B37" s="1656" t="s">
        <v>2209</v>
      </c>
      <c r="C37" s="1656"/>
      <c r="D37" s="1656"/>
      <c r="E37" s="1656"/>
      <c r="F37" s="1656"/>
      <c r="G37" s="1656"/>
      <c r="H37" s="1656"/>
      <c r="I37" s="1656"/>
      <c r="J37" s="1656"/>
      <c r="K37" s="1656"/>
      <c r="L37" s="1656"/>
    </row>
    <row r="38" spans="1:13" ht="21.95" customHeight="1">
      <c r="B38" s="1593" t="s">
        <v>2212</v>
      </c>
      <c r="C38" s="1593"/>
      <c r="D38" s="1593"/>
      <c r="E38" s="1593"/>
      <c r="F38" s="1593"/>
      <c r="G38" s="1593"/>
      <c r="H38" s="1593"/>
      <c r="I38" s="1593"/>
      <c r="J38" s="1593"/>
      <c r="K38" s="1593"/>
      <c r="L38" s="1593"/>
    </row>
    <row r="39" spans="1:13" ht="23.1" customHeight="1">
      <c r="B39" s="1593" t="s">
        <v>1497</v>
      </c>
      <c r="C39" s="1593"/>
      <c r="D39" s="1593"/>
      <c r="E39" s="1593"/>
      <c r="F39" s="1593"/>
      <c r="G39" s="1593"/>
      <c r="H39" s="1593"/>
      <c r="I39" s="1593"/>
      <c r="J39" s="1593"/>
      <c r="K39" s="1593"/>
      <c r="L39" s="1593"/>
    </row>
    <row r="40" spans="1:13" ht="24.95" customHeight="1" thickBot="1">
      <c r="B40" s="21" t="s">
        <v>182</v>
      </c>
      <c r="C40" s="21"/>
      <c r="E40" s="2143" t="str">
        <f>IF('FORM 1040-1'!D32="","",('FORM 1040-1'!D32))</f>
        <v/>
      </c>
      <c r="F40" s="2143"/>
      <c r="G40" s="2143"/>
      <c r="H40" s="24"/>
      <c r="I40" s="202" t="s">
        <v>24</v>
      </c>
      <c r="J40" s="1749"/>
      <c r="K40" s="1749"/>
      <c r="L40" s="1749"/>
    </row>
    <row r="41" spans="1:13" ht="15" customHeight="1" thickTop="1">
      <c r="B41" s="21"/>
      <c r="C41" s="21"/>
      <c r="E41" s="2245" t="s">
        <v>2206</v>
      </c>
      <c r="F41" s="2245"/>
      <c r="G41" s="2245"/>
      <c r="H41" s="40"/>
      <c r="I41" s="40"/>
      <c r="J41" s="2245" t="s">
        <v>2207</v>
      </c>
      <c r="K41" s="2245"/>
      <c r="L41" s="2245"/>
    </row>
    <row r="42" spans="1:13" ht="18" customHeight="1" thickBot="1">
      <c r="B42" s="1593" t="s">
        <v>183</v>
      </c>
      <c r="C42" s="1593"/>
      <c r="D42" s="1593"/>
      <c r="E42" s="1605"/>
      <c r="F42" s="1605"/>
      <c r="G42" s="1605"/>
      <c r="I42" s="1593" t="s">
        <v>184</v>
      </c>
      <c r="J42" s="1593"/>
      <c r="K42" s="1605"/>
      <c r="L42" s="1605"/>
    </row>
    <row r="43" spans="1:13" s="40" customFormat="1" ht="6" customHeight="1" thickTop="1"/>
    <row r="44" spans="1:13" ht="18" customHeight="1" thickBot="1">
      <c r="B44" s="1593" t="s">
        <v>25</v>
      </c>
      <c r="C44" s="1593"/>
      <c r="D44" s="1593"/>
      <c r="E44" s="1605"/>
      <c r="F44" s="1605"/>
      <c r="G44" s="1605"/>
      <c r="H44" s="4"/>
      <c r="I44" s="1593" t="s">
        <v>26</v>
      </c>
      <c r="J44" s="1593"/>
      <c r="K44" s="1605"/>
      <c r="L44" s="1605"/>
    </row>
    <row r="45" spans="1:13" ht="20.100000000000001" customHeight="1" thickTop="1">
      <c r="B45" s="1593" t="s">
        <v>27</v>
      </c>
      <c r="C45" s="1593"/>
      <c r="D45" s="1593"/>
      <c r="G45" s="4"/>
      <c r="H45" s="4"/>
      <c r="I45" s="4"/>
      <c r="J45" s="4"/>
      <c r="K45" s="4"/>
      <c r="L45" s="4"/>
    </row>
    <row r="46" spans="1:13" ht="23.1" customHeight="1">
      <c r="B46" s="1593" t="s">
        <v>1498</v>
      </c>
      <c r="C46" s="1593"/>
      <c r="D46" s="1593"/>
      <c r="E46" s="1593"/>
      <c r="F46" s="1593"/>
      <c r="G46" s="1593"/>
      <c r="H46" s="1593"/>
      <c r="I46" s="1593"/>
      <c r="J46" s="1593"/>
      <c r="K46" s="1593"/>
      <c r="L46" s="1593"/>
    </row>
    <row r="47" spans="1:13" ht="35.1" customHeight="1" thickBot="1">
      <c r="B47" s="37" t="s">
        <v>287</v>
      </c>
      <c r="C47" s="37"/>
      <c r="D47" s="37"/>
      <c r="E47" s="37"/>
      <c r="F47" s="2246"/>
      <c r="G47" s="2246"/>
      <c r="H47" s="474"/>
      <c r="I47" s="202" t="s">
        <v>288</v>
      </c>
      <c r="J47" s="474"/>
      <c r="K47" s="1749"/>
      <c r="L47" s="1749"/>
      <c r="M47" s="8"/>
    </row>
    <row r="48" spans="1:13" s="8" customFormat="1" ht="20.100000000000001" customHeight="1" thickTop="1">
      <c r="A48" s="21"/>
      <c r="B48" s="21"/>
      <c r="C48" s="21"/>
      <c r="D48" s="21"/>
      <c r="E48" s="1596"/>
      <c r="F48" s="1596"/>
      <c r="G48" s="1596"/>
      <c r="H48" s="475"/>
      <c r="I48" s="475"/>
      <c r="J48" s="475"/>
      <c r="K48" s="476" t="s">
        <v>289</v>
      </c>
      <c r="L48" s="476"/>
      <c r="M48" s="477"/>
    </row>
    <row r="49" spans="5:12" ht="15" customHeight="1">
      <c r="E49" s="477"/>
      <c r="F49" s="477"/>
      <c r="G49" s="477"/>
      <c r="H49" s="4"/>
      <c r="I49" s="4"/>
      <c r="J49" s="4"/>
      <c r="K49" s="4"/>
      <c r="L49" s="4"/>
    </row>
    <row r="50" spans="5:12" ht="20.100000000000001" customHeight="1">
      <c r="G50" s="4"/>
      <c r="H50" s="4"/>
      <c r="I50" s="4"/>
      <c r="J50" s="4"/>
      <c r="K50" s="4"/>
      <c r="L50" s="4"/>
    </row>
    <row r="51" spans="5:12" ht="20.100000000000001" customHeight="1">
      <c r="G51" s="4"/>
      <c r="H51" s="4"/>
      <c r="I51" s="4"/>
      <c r="J51" s="4"/>
      <c r="K51" s="4"/>
      <c r="L51" s="4"/>
    </row>
    <row r="52" spans="5:12" ht="20.100000000000001" customHeight="1">
      <c r="G52" s="4"/>
      <c r="H52" s="4"/>
      <c r="I52" s="4"/>
      <c r="J52" s="4"/>
      <c r="K52" s="4"/>
      <c r="L52" s="4"/>
    </row>
    <row r="53" spans="5:12" ht="15" customHeight="1">
      <c r="G53" s="4"/>
      <c r="H53" s="4"/>
      <c r="I53" s="4"/>
      <c r="J53" s="4"/>
      <c r="K53" s="4"/>
      <c r="L53" s="4"/>
    </row>
    <row r="54" spans="5:12">
      <c r="G54" s="4"/>
      <c r="H54" s="4"/>
      <c r="I54" s="4"/>
      <c r="J54" s="4"/>
      <c r="K54" s="4"/>
      <c r="L54" s="4"/>
    </row>
    <row r="55" spans="5:12">
      <c r="G55" s="4"/>
      <c r="H55" s="4"/>
      <c r="I55" s="4"/>
      <c r="J55" s="4"/>
      <c r="K55" s="4"/>
      <c r="L55" s="4"/>
    </row>
    <row r="56" spans="5:12">
      <c r="G56" s="4"/>
      <c r="H56" s="4"/>
      <c r="I56" s="4"/>
      <c r="J56" s="4"/>
      <c r="K56" s="4"/>
      <c r="L56" s="4"/>
    </row>
    <row r="57" spans="5:12">
      <c r="G57" s="4"/>
      <c r="H57" s="4"/>
      <c r="I57" s="4"/>
      <c r="J57" s="4"/>
      <c r="K57" s="4"/>
      <c r="L57" s="4"/>
    </row>
    <row r="58" spans="5:12">
      <c r="G58" s="4"/>
      <c r="H58" s="4"/>
      <c r="I58" s="4"/>
      <c r="J58" s="4"/>
      <c r="K58" s="4"/>
      <c r="L58" s="4"/>
    </row>
    <row r="59" spans="5:12">
      <c r="G59" s="4"/>
      <c r="H59" s="4"/>
      <c r="I59" s="4"/>
      <c r="J59" s="4"/>
      <c r="K59" s="4"/>
      <c r="L59" s="4"/>
    </row>
    <row r="60" spans="5:12">
      <c r="G60" s="4"/>
      <c r="H60" s="4"/>
      <c r="I60" s="4"/>
      <c r="J60" s="4"/>
      <c r="K60" s="4"/>
      <c r="L60" s="4"/>
    </row>
    <row r="61" spans="5:12">
      <c r="G61" s="4"/>
      <c r="H61" s="4"/>
      <c r="I61" s="4"/>
      <c r="J61" s="4"/>
      <c r="K61" s="4"/>
      <c r="L61" s="4"/>
    </row>
    <row r="62" spans="5:12">
      <c r="G62" s="4"/>
      <c r="H62" s="4"/>
      <c r="I62" s="4"/>
      <c r="J62" s="4"/>
      <c r="K62" s="4"/>
      <c r="L62" s="4"/>
    </row>
    <row r="63" spans="5:12">
      <c r="G63" s="4"/>
      <c r="H63" s="4"/>
      <c r="I63" s="4"/>
      <c r="J63" s="4"/>
      <c r="K63" s="4"/>
      <c r="L63" s="4"/>
    </row>
    <row r="64" spans="5:12">
      <c r="G64" s="4"/>
      <c r="H64" s="4"/>
      <c r="I64" s="4"/>
      <c r="J64" s="4"/>
      <c r="K64" s="4"/>
      <c r="L64" s="4"/>
    </row>
    <row r="65" spans="7:12">
      <c r="G65" s="4"/>
      <c r="H65" s="4"/>
      <c r="I65" s="4"/>
      <c r="J65" s="4"/>
      <c r="K65" s="4"/>
      <c r="L65" s="4"/>
    </row>
    <row r="66" spans="7:12">
      <c r="G66" s="4"/>
      <c r="H66" s="4"/>
      <c r="I66" s="4"/>
      <c r="J66" s="4"/>
      <c r="K66" s="4"/>
      <c r="L66" s="4"/>
    </row>
    <row r="67" spans="7:12">
      <c r="G67" s="4"/>
      <c r="H67" s="4"/>
      <c r="I67" s="4"/>
      <c r="J67" s="4"/>
      <c r="K67" s="4"/>
      <c r="L67" s="4"/>
    </row>
    <row r="68" spans="7:12">
      <c r="G68" s="4"/>
      <c r="H68" s="4"/>
      <c r="I68" s="4"/>
      <c r="J68" s="4"/>
      <c r="K68" s="4"/>
      <c r="L68" s="4"/>
    </row>
    <row r="69" spans="7:12">
      <c r="G69" s="4"/>
      <c r="H69" s="4"/>
      <c r="I69" s="4"/>
      <c r="J69" s="4"/>
      <c r="K69" s="4"/>
      <c r="L69" s="4"/>
    </row>
    <row r="70" spans="7:12">
      <c r="G70" s="4"/>
      <c r="H70" s="4"/>
      <c r="I70" s="4"/>
      <c r="J70" s="4"/>
      <c r="K70" s="4"/>
      <c r="L70" s="4"/>
    </row>
    <row r="71" spans="7:12">
      <c r="G71" s="4"/>
      <c r="H71" s="4"/>
      <c r="I71" s="4"/>
      <c r="J71" s="4"/>
      <c r="K71" s="4"/>
      <c r="L71" s="4"/>
    </row>
    <row r="72" spans="7:12">
      <c r="G72" s="4"/>
      <c r="H72" s="4"/>
      <c r="I72" s="4"/>
      <c r="J72" s="4"/>
      <c r="K72" s="4"/>
      <c r="L72" s="4"/>
    </row>
    <row r="73" spans="7:12">
      <c r="G73" s="4"/>
      <c r="H73" s="4"/>
      <c r="I73" s="4"/>
      <c r="J73" s="4"/>
      <c r="K73" s="4"/>
      <c r="L73" s="4"/>
    </row>
    <row r="74" spans="7:12">
      <c r="G74" s="4"/>
      <c r="H74" s="4"/>
      <c r="I74" s="4"/>
      <c r="J74" s="4"/>
      <c r="K74" s="4"/>
      <c r="L74" s="4"/>
    </row>
    <row r="75" spans="7:12">
      <c r="G75" s="4"/>
      <c r="H75" s="4"/>
      <c r="I75" s="4"/>
      <c r="J75" s="4"/>
      <c r="K75" s="4"/>
      <c r="L75" s="4"/>
    </row>
    <row r="76" spans="7:12">
      <c r="G76" s="4"/>
      <c r="H76" s="4"/>
      <c r="I76" s="4"/>
      <c r="J76" s="4"/>
      <c r="K76" s="4"/>
      <c r="L76" s="4"/>
    </row>
    <row r="77" spans="7:12">
      <c r="G77" s="4"/>
      <c r="H77" s="4"/>
      <c r="I77" s="4"/>
      <c r="J77" s="4"/>
      <c r="K77" s="4"/>
      <c r="L77" s="4"/>
    </row>
    <row r="78" spans="7:12">
      <c r="G78" s="4"/>
      <c r="H78" s="4"/>
      <c r="I78" s="4"/>
      <c r="J78" s="4"/>
      <c r="K78" s="4"/>
      <c r="L78" s="4"/>
    </row>
    <row r="79" spans="7:12">
      <c r="G79" s="4"/>
      <c r="H79" s="4"/>
      <c r="I79" s="4"/>
      <c r="J79" s="4"/>
      <c r="K79" s="4"/>
      <c r="L79" s="4"/>
    </row>
    <row r="80" spans="7:12">
      <c r="G80" s="4"/>
      <c r="H80" s="4"/>
      <c r="I80" s="4"/>
      <c r="J80" s="4"/>
      <c r="K80" s="4"/>
      <c r="L80" s="4"/>
    </row>
    <row r="81" spans="7:12">
      <c r="G81" s="4"/>
      <c r="H81" s="4"/>
      <c r="I81" s="4"/>
      <c r="J81" s="4"/>
      <c r="K81" s="4"/>
      <c r="L81" s="4"/>
    </row>
    <row r="82" spans="7:12">
      <c r="G82" s="4"/>
      <c r="H82" s="4"/>
      <c r="I82" s="4"/>
      <c r="J82" s="4"/>
      <c r="K82" s="4"/>
      <c r="L82" s="4"/>
    </row>
    <row r="83" spans="7:12">
      <c r="G83" s="4"/>
      <c r="H83" s="4"/>
      <c r="I83" s="4"/>
      <c r="J83" s="4"/>
      <c r="K83" s="4"/>
      <c r="L83" s="4"/>
    </row>
    <row r="84" spans="7:12">
      <c r="G84" s="4"/>
      <c r="H84" s="4"/>
      <c r="I84" s="4"/>
      <c r="J84" s="4"/>
      <c r="K84" s="4"/>
      <c r="L84" s="4"/>
    </row>
    <row r="85" spans="7:12">
      <c r="G85" s="4"/>
      <c r="H85" s="4"/>
      <c r="I85" s="4"/>
      <c r="J85" s="4"/>
      <c r="K85" s="4"/>
      <c r="L85" s="4"/>
    </row>
    <row r="86" spans="7:12">
      <c r="G86" s="4"/>
      <c r="H86" s="4"/>
      <c r="I86" s="4"/>
      <c r="J86" s="4"/>
      <c r="K86" s="4"/>
      <c r="L86" s="4"/>
    </row>
    <row r="87" spans="7:12">
      <c r="G87" s="4"/>
      <c r="H87" s="4"/>
      <c r="I87" s="4"/>
      <c r="J87" s="4"/>
      <c r="K87" s="4"/>
      <c r="L87" s="4"/>
    </row>
    <row r="88" spans="7:12">
      <c r="G88" s="4"/>
      <c r="H88" s="4"/>
      <c r="I88" s="4"/>
      <c r="J88" s="4"/>
      <c r="K88" s="4"/>
      <c r="L88" s="4"/>
    </row>
    <row r="89" spans="7:12">
      <c r="G89" s="4"/>
      <c r="H89" s="4"/>
      <c r="I89" s="4"/>
      <c r="J89" s="4"/>
      <c r="K89" s="4"/>
      <c r="L89" s="4"/>
    </row>
    <row r="90" spans="7:12">
      <c r="G90" s="4"/>
      <c r="H90" s="4"/>
      <c r="I90" s="4"/>
      <c r="J90" s="4"/>
      <c r="K90" s="4"/>
      <c r="L90" s="4"/>
    </row>
    <row r="91" spans="7:12">
      <c r="G91" s="4"/>
      <c r="H91" s="4"/>
      <c r="I91" s="4"/>
      <c r="J91" s="4"/>
      <c r="K91" s="4"/>
      <c r="L91" s="4"/>
    </row>
    <row r="92" spans="7:12">
      <c r="G92" s="4"/>
      <c r="H92" s="4"/>
      <c r="I92" s="4"/>
      <c r="J92" s="4"/>
      <c r="K92" s="4"/>
      <c r="L92" s="4"/>
    </row>
    <row r="93" spans="7:12">
      <c r="G93" s="4"/>
      <c r="H93" s="4"/>
      <c r="I93" s="4"/>
      <c r="J93" s="4"/>
      <c r="K93" s="4"/>
      <c r="L93" s="4"/>
    </row>
    <row r="94" spans="7:12">
      <c r="G94" s="4"/>
      <c r="H94" s="4"/>
      <c r="I94" s="4"/>
      <c r="J94" s="4"/>
      <c r="K94" s="4"/>
      <c r="L94" s="4"/>
    </row>
    <row r="95" spans="7:12">
      <c r="G95" s="4"/>
      <c r="H95" s="4"/>
      <c r="I95" s="4"/>
      <c r="J95" s="4"/>
      <c r="K95" s="4"/>
      <c r="L95" s="4"/>
    </row>
    <row r="96" spans="7:12">
      <c r="G96" s="4"/>
      <c r="H96" s="4"/>
      <c r="I96" s="4"/>
      <c r="J96" s="4"/>
      <c r="K96" s="4"/>
      <c r="L96" s="4"/>
    </row>
    <row r="97" spans="7:12">
      <c r="G97" s="4"/>
      <c r="H97" s="4"/>
      <c r="I97" s="4"/>
      <c r="J97" s="4"/>
      <c r="K97" s="4"/>
      <c r="L97" s="4"/>
    </row>
    <row r="98" spans="7:12">
      <c r="G98" s="4"/>
      <c r="H98" s="4"/>
      <c r="I98" s="4"/>
      <c r="J98" s="4"/>
      <c r="K98" s="4"/>
      <c r="L98" s="4"/>
    </row>
    <row r="99" spans="7:12">
      <c r="G99" s="4"/>
      <c r="H99" s="4"/>
      <c r="I99" s="4"/>
      <c r="J99" s="4"/>
      <c r="K99" s="4"/>
      <c r="L99" s="4"/>
    </row>
    <row r="100" spans="7:12">
      <c r="G100" s="4"/>
      <c r="H100" s="4"/>
      <c r="I100" s="4"/>
      <c r="J100" s="4"/>
      <c r="K100" s="4"/>
      <c r="L100" s="4"/>
    </row>
    <row r="101" spans="7:12">
      <c r="G101" s="4"/>
      <c r="H101" s="4"/>
      <c r="I101" s="4"/>
      <c r="J101" s="4"/>
      <c r="K101" s="4"/>
      <c r="L101" s="4"/>
    </row>
    <row r="102" spans="7:12">
      <c r="G102" s="4"/>
      <c r="H102" s="4"/>
      <c r="I102" s="4"/>
      <c r="J102" s="4"/>
      <c r="K102" s="4"/>
      <c r="L102" s="4"/>
    </row>
    <row r="103" spans="7:12">
      <c r="G103" s="4"/>
      <c r="H103" s="4"/>
      <c r="I103" s="4"/>
      <c r="J103" s="4"/>
      <c r="K103" s="4"/>
      <c r="L103" s="4"/>
    </row>
    <row r="104" spans="7:12">
      <c r="G104" s="4"/>
      <c r="H104" s="4"/>
      <c r="I104" s="4"/>
      <c r="J104" s="4"/>
      <c r="K104" s="4"/>
      <c r="L104" s="4"/>
    </row>
    <row r="105" spans="7:12">
      <c r="G105" s="4"/>
      <c r="H105" s="4"/>
      <c r="I105" s="4"/>
      <c r="J105" s="4"/>
      <c r="K105" s="4"/>
      <c r="L105" s="4"/>
    </row>
    <row r="106" spans="7:12">
      <c r="G106" s="4"/>
      <c r="H106" s="4"/>
      <c r="I106" s="4"/>
      <c r="J106" s="4"/>
      <c r="K106" s="4"/>
      <c r="L106" s="4"/>
    </row>
    <row r="107" spans="7:12">
      <c r="G107" s="4"/>
      <c r="H107" s="4"/>
      <c r="I107" s="4"/>
      <c r="J107" s="4"/>
      <c r="K107" s="4"/>
      <c r="L107" s="4"/>
    </row>
    <row r="108" spans="7:12">
      <c r="G108" s="4"/>
      <c r="H108" s="4"/>
      <c r="I108" s="4"/>
      <c r="J108" s="4"/>
      <c r="K108" s="4"/>
      <c r="L108" s="4"/>
    </row>
    <row r="109" spans="7:12">
      <c r="G109" s="4"/>
      <c r="H109" s="4"/>
      <c r="I109" s="4"/>
      <c r="J109" s="4"/>
      <c r="K109" s="4"/>
      <c r="L109" s="4"/>
    </row>
    <row r="110" spans="7:12">
      <c r="G110" s="4"/>
      <c r="H110" s="4"/>
      <c r="I110" s="4"/>
      <c r="J110" s="4"/>
      <c r="K110" s="4"/>
      <c r="L110" s="4"/>
    </row>
    <row r="111" spans="7:12">
      <c r="G111" s="4"/>
      <c r="H111" s="4"/>
      <c r="I111" s="4"/>
      <c r="J111" s="4"/>
      <c r="K111" s="4"/>
      <c r="L111" s="4"/>
    </row>
    <row r="112" spans="7:12">
      <c r="G112" s="4"/>
      <c r="H112" s="4"/>
      <c r="I112" s="4"/>
      <c r="J112" s="4"/>
      <c r="K112" s="4"/>
      <c r="L112" s="4"/>
    </row>
    <row r="113" spans="7:12">
      <c r="G113" s="4"/>
      <c r="H113" s="4"/>
      <c r="I113" s="4"/>
      <c r="J113" s="4"/>
      <c r="K113" s="4"/>
      <c r="L113" s="4"/>
    </row>
    <row r="114" spans="7:12">
      <c r="G114" s="4"/>
      <c r="H114" s="4"/>
      <c r="I114" s="4"/>
      <c r="J114" s="4"/>
      <c r="K114" s="4"/>
      <c r="L114" s="4"/>
    </row>
    <row r="115" spans="7:12">
      <c r="G115" s="4"/>
      <c r="H115" s="4"/>
      <c r="I115" s="4"/>
      <c r="J115" s="4"/>
      <c r="K115" s="4"/>
      <c r="L115" s="4"/>
    </row>
    <row r="116" spans="7:12">
      <c r="G116" s="4"/>
      <c r="H116" s="4"/>
      <c r="I116" s="4"/>
      <c r="J116" s="4"/>
      <c r="K116" s="4"/>
      <c r="L116" s="4"/>
    </row>
    <row r="117" spans="7:12">
      <c r="G117" s="4"/>
      <c r="H117" s="4"/>
      <c r="I117" s="4"/>
      <c r="J117" s="4"/>
      <c r="K117" s="4"/>
      <c r="L117" s="4"/>
    </row>
    <row r="118" spans="7:12">
      <c r="G118" s="4"/>
      <c r="H118" s="4"/>
      <c r="I118" s="4"/>
      <c r="J118" s="4"/>
      <c r="K118" s="4"/>
      <c r="L118" s="4"/>
    </row>
    <row r="119" spans="7:12">
      <c r="G119" s="4"/>
      <c r="H119" s="4"/>
      <c r="I119" s="4"/>
      <c r="J119" s="4"/>
      <c r="K119" s="4"/>
      <c r="L119" s="4"/>
    </row>
    <row r="120" spans="7:12">
      <c r="G120" s="4"/>
      <c r="H120" s="4"/>
      <c r="I120" s="4"/>
      <c r="J120" s="4"/>
      <c r="K120" s="4"/>
      <c r="L120" s="4"/>
    </row>
    <row r="121" spans="7:12">
      <c r="G121" s="4"/>
      <c r="H121" s="4"/>
      <c r="I121" s="4"/>
      <c r="J121" s="4"/>
      <c r="K121" s="4"/>
      <c r="L121" s="4"/>
    </row>
    <row r="122" spans="7:12">
      <c r="G122" s="4"/>
      <c r="H122" s="4"/>
      <c r="I122" s="4"/>
      <c r="J122" s="4"/>
      <c r="K122" s="4"/>
      <c r="L122" s="4"/>
    </row>
    <row r="123" spans="7:12">
      <c r="G123" s="4"/>
      <c r="H123" s="4"/>
      <c r="I123" s="4"/>
      <c r="J123" s="4"/>
      <c r="K123" s="4"/>
      <c r="L123" s="4"/>
    </row>
    <row r="124" spans="7:12">
      <c r="G124" s="4"/>
      <c r="H124" s="4"/>
      <c r="I124" s="4"/>
      <c r="J124" s="4"/>
      <c r="K124" s="4"/>
      <c r="L124" s="4"/>
    </row>
    <row r="125" spans="7:12">
      <c r="G125" s="4"/>
      <c r="H125" s="4"/>
      <c r="I125" s="4"/>
      <c r="J125" s="4"/>
      <c r="K125" s="4"/>
      <c r="L125" s="4"/>
    </row>
    <row r="126" spans="7:12">
      <c r="G126" s="4"/>
      <c r="H126" s="4"/>
      <c r="I126" s="4"/>
      <c r="J126" s="4"/>
      <c r="K126" s="4"/>
      <c r="L126" s="4"/>
    </row>
    <row r="127" spans="7:12">
      <c r="G127" s="4"/>
      <c r="H127" s="4"/>
      <c r="I127" s="4"/>
      <c r="J127" s="4"/>
      <c r="K127" s="4"/>
      <c r="L127" s="4"/>
    </row>
    <row r="128" spans="7:12">
      <c r="G128" s="4"/>
      <c r="H128" s="4"/>
      <c r="I128" s="4"/>
      <c r="J128" s="4"/>
      <c r="K128" s="4"/>
      <c r="L128" s="4"/>
    </row>
    <row r="129" spans="7:12">
      <c r="G129" s="4"/>
      <c r="H129" s="4"/>
      <c r="I129" s="4"/>
      <c r="J129" s="4"/>
      <c r="K129" s="4"/>
      <c r="L129" s="4"/>
    </row>
    <row r="130" spans="7:12">
      <c r="G130" s="4"/>
      <c r="H130" s="4"/>
      <c r="I130" s="4"/>
      <c r="J130" s="4"/>
      <c r="K130" s="4"/>
      <c r="L130" s="4"/>
    </row>
    <row r="131" spans="7:12">
      <c r="G131" s="4"/>
      <c r="H131" s="4"/>
      <c r="I131" s="4"/>
      <c r="J131" s="4"/>
      <c r="K131" s="4"/>
      <c r="L131" s="4"/>
    </row>
    <row r="132" spans="7:12">
      <c r="G132" s="4"/>
      <c r="H132" s="4"/>
      <c r="I132" s="4"/>
      <c r="J132" s="4"/>
      <c r="K132" s="4"/>
      <c r="L132" s="4"/>
    </row>
    <row r="133" spans="7:12">
      <c r="G133" s="4"/>
      <c r="H133" s="4"/>
      <c r="I133" s="4"/>
      <c r="J133" s="4"/>
      <c r="K133" s="4"/>
      <c r="L133" s="4"/>
    </row>
    <row r="134" spans="7:12">
      <c r="G134" s="4"/>
      <c r="H134" s="4"/>
      <c r="I134" s="4"/>
      <c r="J134" s="4"/>
      <c r="K134" s="4"/>
      <c r="L134" s="4"/>
    </row>
    <row r="135" spans="7:12">
      <c r="G135" s="4"/>
      <c r="H135" s="4"/>
      <c r="I135" s="4"/>
      <c r="J135" s="4"/>
      <c r="K135" s="4"/>
      <c r="L135" s="4"/>
    </row>
    <row r="136" spans="7:12">
      <c r="G136" s="4"/>
      <c r="H136" s="4"/>
      <c r="I136" s="4"/>
      <c r="J136" s="4"/>
      <c r="K136" s="4"/>
      <c r="L136" s="4"/>
    </row>
    <row r="137" spans="7:12">
      <c r="G137" s="4"/>
      <c r="H137" s="4"/>
      <c r="I137" s="4"/>
      <c r="J137" s="4"/>
      <c r="K137" s="4"/>
      <c r="L137" s="4"/>
    </row>
    <row r="138" spans="7:12">
      <c r="G138" s="4"/>
      <c r="H138" s="4"/>
      <c r="I138" s="4"/>
      <c r="J138" s="4"/>
      <c r="K138" s="4"/>
      <c r="L138" s="4"/>
    </row>
    <row r="139" spans="7:12">
      <c r="G139" s="4"/>
      <c r="H139" s="4"/>
      <c r="I139" s="4"/>
      <c r="J139" s="4"/>
      <c r="K139" s="4"/>
      <c r="L139" s="4"/>
    </row>
    <row r="140" spans="7:12">
      <c r="G140" s="4"/>
      <c r="H140" s="4"/>
      <c r="I140" s="4"/>
      <c r="J140" s="4"/>
      <c r="K140" s="4"/>
      <c r="L140" s="4"/>
    </row>
    <row r="141" spans="7:12">
      <c r="G141" s="4"/>
      <c r="H141" s="4"/>
      <c r="I141" s="4"/>
      <c r="J141" s="4"/>
      <c r="K141" s="4"/>
      <c r="L141" s="4"/>
    </row>
    <row r="142" spans="7:12">
      <c r="G142" s="4"/>
      <c r="H142" s="4"/>
      <c r="I142" s="4"/>
      <c r="J142" s="4"/>
      <c r="K142" s="4"/>
      <c r="L142" s="4"/>
    </row>
    <row r="143" spans="7:12">
      <c r="G143" s="4"/>
      <c r="H143" s="4"/>
      <c r="I143" s="4"/>
      <c r="J143" s="4"/>
      <c r="K143" s="4"/>
      <c r="L143" s="4"/>
    </row>
    <row r="144" spans="7:12">
      <c r="G144" s="4"/>
      <c r="H144" s="4"/>
      <c r="I144" s="4"/>
      <c r="J144" s="4"/>
      <c r="K144" s="4"/>
      <c r="L144" s="4"/>
    </row>
    <row r="145" spans="7:12">
      <c r="G145" s="4"/>
      <c r="H145" s="4"/>
      <c r="I145" s="4"/>
      <c r="J145" s="4"/>
      <c r="K145" s="4"/>
      <c r="L145" s="4"/>
    </row>
    <row r="146" spans="7:12">
      <c r="G146" s="4"/>
      <c r="H146" s="4"/>
      <c r="I146" s="4"/>
      <c r="J146" s="4"/>
      <c r="K146" s="4"/>
      <c r="L146" s="4"/>
    </row>
    <row r="147" spans="7:12">
      <c r="G147" s="4"/>
      <c r="H147" s="4"/>
      <c r="I147" s="4"/>
      <c r="J147" s="4"/>
      <c r="K147" s="4"/>
      <c r="L147" s="4"/>
    </row>
    <row r="148" spans="7:12">
      <c r="G148" s="4"/>
      <c r="H148" s="4"/>
      <c r="I148" s="4"/>
      <c r="J148" s="4"/>
      <c r="K148" s="4"/>
      <c r="L148" s="4"/>
    </row>
    <row r="149" spans="7:12">
      <c r="G149" s="4"/>
      <c r="H149" s="4"/>
      <c r="I149" s="4"/>
      <c r="J149" s="4"/>
      <c r="K149" s="4"/>
      <c r="L149" s="4"/>
    </row>
    <row r="150" spans="7:12">
      <c r="G150" s="4"/>
      <c r="H150" s="4"/>
      <c r="I150" s="4"/>
      <c r="J150" s="4"/>
      <c r="K150" s="4"/>
      <c r="L150" s="4"/>
    </row>
    <row r="151" spans="7:12">
      <c r="G151" s="4"/>
      <c r="H151" s="4"/>
      <c r="I151" s="4"/>
      <c r="J151" s="4"/>
      <c r="K151" s="4"/>
      <c r="L151" s="4"/>
    </row>
    <row r="152" spans="7:12">
      <c r="G152" s="4"/>
      <c r="H152" s="4"/>
      <c r="I152" s="4"/>
      <c r="J152" s="4"/>
      <c r="K152" s="4"/>
      <c r="L152" s="4"/>
    </row>
    <row r="153" spans="7:12">
      <c r="G153" s="4"/>
      <c r="H153" s="4"/>
      <c r="I153" s="4"/>
      <c r="J153" s="4"/>
      <c r="K153" s="4"/>
      <c r="L153" s="4"/>
    </row>
    <row r="154" spans="7:12">
      <c r="G154" s="4"/>
      <c r="H154" s="4"/>
      <c r="I154" s="4"/>
      <c r="J154" s="4"/>
      <c r="K154" s="4"/>
      <c r="L154" s="4"/>
    </row>
    <row r="155" spans="7:12">
      <c r="G155" s="4"/>
      <c r="H155" s="4"/>
      <c r="I155" s="4"/>
      <c r="J155" s="4"/>
      <c r="K155" s="4"/>
      <c r="L155" s="4"/>
    </row>
    <row r="156" spans="7:12">
      <c r="G156" s="4"/>
      <c r="H156" s="4"/>
      <c r="I156" s="4"/>
      <c r="J156" s="4"/>
      <c r="K156" s="4"/>
      <c r="L156" s="4"/>
    </row>
    <row r="157" spans="7:12">
      <c r="G157" s="4"/>
      <c r="H157" s="4"/>
      <c r="I157" s="4"/>
      <c r="J157" s="4"/>
      <c r="K157" s="4"/>
      <c r="L157" s="4"/>
    </row>
    <row r="158" spans="7:12">
      <c r="G158" s="4"/>
      <c r="H158" s="4"/>
      <c r="I158" s="4"/>
      <c r="J158" s="4"/>
      <c r="K158" s="4"/>
      <c r="L158" s="4"/>
    </row>
    <row r="159" spans="7:12">
      <c r="G159" s="4"/>
      <c r="H159" s="4"/>
      <c r="I159" s="4"/>
      <c r="J159" s="4"/>
      <c r="K159" s="4"/>
      <c r="L159" s="4"/>
    </row>
    <row r="160" spans="7:12">
      <c r="G160" s="4"/>
      <c r="H160" s="4"/>
      <c r="I160" s="4"/>
      <c r="J160" s="4"/>
      <c r="K160" s="4"/>
      <c r="L160" s="4"/>
    </row>
    <row r="161" spans="7:12">
      <c r="G161" s="4"/>
      <c r="H161" s="4"/>
      <c r="I161" s="4"/>
      <c r="J161" s="4"/>
      <c r="K161" s="4"/>
      <c r="L161" s="4"/>
    </row>
    <row r="162" spans="7:12">
      <c r="G162" s="4"/>
      <c r="H162" s="4"/>
      <c r="I162" s="4"/>
      <c r="J162" s="4"/>
      <c r="K162" s="4"/>
      <c r="L162" s="4"/>
    </row>
    <row r="163" spans="7:12">
      <c r="G163" s="4"/>
      <c r="H163" s="4"/>
      <c r="I163" s="4"/>
      <c r="J163" s="4"/>
      <c r="K163" s="4"/>
      <c r="L163" s="4"/>
    </row>
    <row r="164" spans="7:12">
      <c r="G164" s="4"/>
      <c r="H164" s="4"/>
      <c r="I164" s="4"/>
      <c r="J164" s="4"/>
      <c r="K164" s="4"/>
      <c r="L164" s="4"/>
    </row>
  </sheetData>
  <sheetProtection algorithmName="SHA-512" hashValue="hiV2T8XXYBMO46zwAUds5V8cXY1nnXK5M0qY5w/Lr+47BV7Ql6mnItKuZF0tAHMHC1eKt1XumxZcv08mYldYcA==" saltValue="vGJ0++Q+GSYhRi60HPx6tA==" spinCount="100000" sheet="1" objects="1" scenarios="1"/>
  <mergeCells count="36">
    <mergeCell ref="C19:L19"/>
    <mergeCell ref="C5:L5"/>
    <mergeCell ref="C7:L7"/>
    <mergeCell ref="C9:L9"/>
    <mergeCell ref="C11:L11"/>
    <mergeCell ref="C17:L17"/>
    <mergeCell ref="C13:L13"/>
    <mergeCell ref="C15:L15"/>
    <mergeCell ref="E48:G48"/>
    <mergeCell ref="B44:D44"/>
    <mergeCell ref="E44:G44"/>
    <mergeCell ref="I44:J44"/>
    <mergeCell ref="K44:L44"/>
    <mergeCell ref="B45:D45"/>
    <mergeCell ref="B46:L46"/>
    <mergeCell ref="B42:D42"/>
    <mergeCell ref="E42:G42"/>
    <mergeCell ref="I42:J42"/>
    <mergeCell ref="K42:L42"/>
    <mergeCell ref="F47:G47"/>
    <mergeCell ref="K47:L47"/>
    <mergeCell ref="B39:L39"/>
    <mergeCell ref="E40:G40"/>
    <mergeCell ref="J40:L40"/>
    <mergeCell ref="E41:G41"/>
    <mergeCell ref="J41:L41"/>
    <mergeCell ref="B38:L38"/>
    <mergeCell ref="B37:L37"/>
    <mergeCell ref="C21:L21"/>
    <mergeCell ref="C23:L23"/>
    <mergeCell ref="C25:L25"/>
    <mergeCell ref="C27:L27"/>
    <mergeCell ref="C29:L29"/>
    <mergeCell ref="C31:L31"/>
    <mergeCell ref="C33:L33"/>
    <mergeCell ref="C35:L35"/>
  </mergeCells>
  <phoneticPr fontId="0" type="noConversion"/>
  <pageMargins left="0.6" right="0.25" top="0.5" bottom="0.75" header="0" footer="0.5"/>
  <pageSetup scale="80" firstPageNumber="29" orientation="portrait" verticalDpi="300" r:id="rId1"/>
  <headerFooter alignWithMargins="0">
    <oddFooter>&amp;C&amp;A&amp;R&amp;D &amp;T</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6">
    <pageSetUpPr fitToPage="1"/>
  </sheetPr>
  <dimension ref="A1:M160"/>
  <sheetViews>
    <sheetView workbookViewId="0"/>
  </sheetViews>
  <sheetFormatPr defaultColWidth="10.7109375" defaultRowHeight="12.75"/>
  <cols>
    <col min="1" max="1" width="6.42578125" style="995" customWidth="1"/>
    <col min="2" max="3" width="2.7109375" style="995" customWidth="1"/>
    <col min="4" max="4" width="6.7109375" style="995" customWidth="1"/>
    <col min="5" max="6" width="9.7109375" style="995" customWidth="1"/>
    <col min="7" max="7" width="21.5703125" style="995" customWidth="1"/>
    <col min="8" max="8" width="2.7109375" style="995" customWidth="1"/>
    <col min="9" max="9" width="6.7109375" style="995" customWidth="1"/>
    <col min="10" max="10" width="5.7109375" style="995" customWidth="1"/>
    <col min="11" max="11" width="23.28515625" style="995" customWidth="1"/>
    <col min="12" max="12" width="18.7109375" style="995" customWidth="1"/>
    <col min="13" max="13" width="4.7109375" style="986" customWidth="1"/>
    <col min="14" max="14" width="12.140625" style="986" customWidth="1"/>
    <col min="15" max="21" width="10.7109375" style="986" customWidth="1"/>
    <col min="22" max="16384" width="10.7109375" style="986"/>
  </cols>
  <sheetData>
    <row r="1" spans="1:12">
      <c r="A1" s="1302" t="str">
        <f>IF('FORM 1040-1'!D15="","",'FORM 1040-1'!D15)</f>
        <v/>
      </c>
      <c r="B1" s="1306"/>
      <c r="C1" s="1306"/>
      <c r="D1" s="1306"/>
      <c r="E1" s="1306"/>
      <c r="F1" s="1306"/>
      <c r="G1" s="1306"/>
      <c r="H1" s="1306"/>
      <c r="I1" s="1306"/>
      <c r="J1" s="1306"/>
      <c r="K1" s="1306"/>
      <c r="L1" s="1294" t="str">
        <f>IF('FORM 1040-1'!$E$12="","",'FORM 1040-1'!$E$12)</f>
        <v/>
      </c>
    </row>
    <row r="3" spans="1:12" ht="18.75">
      <c r="A3" s="1992" t="s">
        <v>2255</v>
      </c>
      <c r="B3" s="1992"/>
      <c r="C3" s="1992"/>
      <c r="D3" s="1992"/>
      <c r="E3" s="1992"/>
      <c r="F3" s="1992"/>
      <c r="G3" s="1992"/>
      <c r="H3" s="1992"/>
      <c r="I3" s="1992"/>
      <c r="J3" s="1992"/>
      <c r="K3" s="1992"/>
      <c r="L3" s="1992"/>
    </row>
    <row r="5" spans="1:12" ht="15" customHeight="1">
      <c r="A5" s="1079" t="s">
        <v>2886</v>
      </c>
      <c r="B5" s="995" t="s">
        <v>933</v>
      </c>
      <c r="F5" s="1000"/>
      <c r="J5" s="986"/>
      <c r="K5" s="986"/>
      <c r="L5" s="986"/>
    </row>
    <row r="6" spans="1:12" ht="6" customHeight="1">
      <c r="F6" s="1000"/>
      <c r="J6" s="986"/>
      <c r="K6" s="986"/>
      <c r="L6" s="986"/>
    </row>
    <row r="7" spans="1:12" ht="38.450000000000003" customHeight="1">
      <c r="B7" s="207" t="s">
        <v>53</v>
      </c>
      <c r="C7" s="1656" t="s">
        <v>2413</v>
      </c>
      <c r="D7" s="1656"/>
      <c r="E7" s="1656"/>
      <c r="F7" s="1656"/>
      <c r="G7" s="1656"/>
      <c r="H7" s="1656"/>
      <c r="I7" s="1656"/>
      <c r="J7" s="1656"/>
      <c r="K7" s="1656"/>
      <c r="L7" s="1656"/>
    </row>
    <row r="8" spans="1:12" ht="6" customHeight="1">
      <c r="B8" s="1083"/>
      <c r="C8" s="993"/>
      <c r="D8" s="986"/>
      <c r="F8" s="1000"/>
      <c r="J8" s="986"/>
      <c r="K8" s="986"/>
      <c r="L8" s="986"/>
    </row>
    <row r="9" spans="1:12" s="994" customFormat="1" ht="15" customHeight="1">
      <c r="A9" s="995"/>
      <c r="B9" s="1083" t="s">
        <v>54</v>
      </c>
      <c r="C9" s="1656" t="s">
        <v>2099</v>
      </c>
      <c r="D9" s="1656"/>
      <c r="E9" s="1656"/>
      <c r="F9" s="1656"/>
      <c r="G9" s="1656"/>
      <c r="H9" s="1656"/>
      <c r="I9" s="1656"/>
      <c r="J9" s="1656"/>
      <c r="K9" s="1656"/>
      <c r="L9" s="1656"/>
    </row>
    <row r="10" spans="1:12" ht="6" customHeight="1">
      <c r="B10" s="1083"/>
      <c r="C10" s="993"/>
      <c r="D10" s="986"/>
      <c r="F10" s="1000"/>
      <c r="J10" s="986"/>
      <c r="K10" s="986"/>
      <c r="L10" s="986"/>
    </row>
    <row r="11" spans="1:12" ht="26.1" customHeight="1">
      <c r="B11" s="207" t="s">
        <v>55</v>
      </c>
      <c r="C11" s="1656" t="s">
        <v>2257</v>
      </c>
      <c r="D11" s="1656"/>
      <c r="E11" s="1656"/>
      <c r="F11" s="1656"/>
      <c r="G11" s="1656"/>
      <c r="H11" s="1656"/>
      <c r="I11" s="1656"/>
      <c r="J11" s="1656"/>
      <c r="K11" s="1656"/>
      <c r="L11" s="1656"/>
    </row>
    <row r="12" spans="1:12" ht="6" customHeight="1">
      <c r="B12" s="1083"/>
      <c r="C12" s="992"/>
      <c r="D12" s="986"/>
      <c r="E12" s="996"/>
      <c r="F12" s="996"/>
      <c r="G12" s="996"/>
      <c r="H12" s="996"/>
      <c r="I12" s="996"/>
      <c r="J12" s="986"/>
      <c r="K12" s="986"/>
      <c r="L12" s="986"/>
    </row>
    <row r="13" spans="1:12" ht="26.1" customHeight="1">
      <c r="B13" s="207" t="s">
        <v>56</v>
      </c>
      <c r="C13" s="1656" t="s">
        <v>2237</v>
      </c>
      <c r="D13" s="1656"/>
      <c r="E13" s="1656"/>
      <c r="F13" s="1656"/>
      <c r="G13" s="1656"/>
      <c r="H13" s="1656"/>
      <c r="I13" s="1656"/>
      <c r="J13" s="1656"/>
      <c r="K13" s="1656"/>
      <c r="L13" s="1656"/>
    </row>
    <row r="14" spans="1:12" ht="6" customHeight="1">
      <c r="B14" s="1083"/>
      <c r="C14" s="993"/>
      <c r="D14" s="986"/>
      <c r="F14" s="1000"/>
      <c r="J14" s="986"/>
      <c r="K14" s="986"/>
      <c r="L14" s="986"/>
    </row>
    <row r="15" spans="1:12" ht="38.450000000000003" customHeight="1">
      <c r="B15" s="207" t="s">
        <v>105</v>
      </c>
      <c r="C15" s="1656" t="s">
        <v>934</v>
      </c>
      <c r="D15" s="1656"/>
      <c r="E15" s="1656"/>
      <c r="F15" s="1656"/>
      <c r="G15" s="1656"/>
      <c r="H15" s="1656"/>
      <c r="I15" s="1656"/>
      <c r="J15" s="1656"/>
      <c r="K15" s="1656"/>
      <c r="L15" s="1656"/>
    </row>
    <row r="16" spans="1:12" ht="6" customHeight="1">
      <c r="B16" s="207"/>
      <c r="C16" s="992"/>
      <c r="D16" s="1007"/>
      <c r="E16" s="1007"/>
      <c r="F16" s="1007"/>
      <c r="G16" s="1007"/>
      <c r="H16" s="1007"/>
      <c r="I16" s="1007"/>
      <c r="J16" s="1007"/>
      <c r="K16" s="1007"/>
      <c r="L16" s="1007"/>
    </row>
    <row r="17" spans="1:12" ht="26.1" customHeight="1">
      <c r="B17" s="207" t="s">
        <v>106</v>
      </c>
      <c r="C17" s="1656" t="s">
        <v>2254</v>
      </c>
      <c r="D17" s="1656"/>
      <c r="E17" s="1656"/>
      <c r="F17" s="1656"/>
      <c r="G17" s="1656"/>
      <c r="H17" s="1656"/>
      <c r="I17" s="1656"/>
      <c r="J17" s="1656"/>
      <c r="K17" s="1656"/>
      <c r="L17" s="1656"/>
    </row>
    <row r="18" spans="1:12" ht="6" customHeight="1">
      <c r="B18" s="1083"/>
      <c r="C18" s="993"/>
      <c r="D18" s="986"/>
      <c r="F18" s="1000"/>
      <c r="J18" s="986"/>
      <c r="K18" s="986"/>
      <c r="L18" s="986"/>
    </row>
    <row r="19" spans="1:12" ht="53.1" customHeight="1">
      <c r="B19" s="207" t="s">
        <v>107</v>
      </c>
      <c r="C19" s="1656" t="s">
        <v>2258</v>
      </c>
      <c r="D19" s="1656"/>
      <c r="E19" s="1656"/>
      <c r="F19" s="1656"/>
      <c r="G19" s="1656"/>
      <c r="H19" s="1656"/>
      <c r="I19" s="1656"/>
      <c r="J19" s="1656"/>
      <c r="K19" s="1656"/>
      <c r="L19" s="1656"/>
    </row>
    <row r="20" spans="1:12" ht="6" customHeight="1">
      <c r="B20" s="1083"/>
      <c r="C20" s="993"/>
      <c r="D20" s="986"/>
      <c r="J20" s="986"/>
      <c r="K20" s="986"/>
      <c r="L20" s="986"/>
    </row>
    <row r="21" spans="1:12" ht="26.1" customHeight="1">
      <c r="B21" s="207" t="s">
        <v>109</v>
      </c>
      <c r="C21" s="1656" t="s">
        <v>2267</v>
      </c>
      <c r="D21" s="1656"/>
      <c r="E21" s="1656"/>
      <c r="F21" s="1656"/>
      <c r="G21" s="1656"/>
      <c r="H21" s="1656"/>
      <c r="I21" s="1656"/>
      <c r="J21" s="1656"/>
      <c r="K21" s="1656"/>
      <c r="L21" s="1656"/>
    </row>
    <row r="22" spans="1:12" ht="6" customHeight="1">
      <c r="B22" s="1083"/>
      <c r="C22" s="993"/>
      <c r="D22" s="986"/>
    </row>
    <row r="23" spans="1:12" s="994" customFormat="1" ht="15" customHeight="1">
      <c r="B23" s="1083" t="s">
        <v>42</v>
      </c>
      <c r="C23" s="1656" t="s">
        <v>2407</v>
      </c>
      <c r="D23" s="1656"/>
      <c r="E23" s="1656"/>
      <c r="F23" s="1656"/>
      <c r="G23" s="1656"/>
      <c r="H23" s="1656"/>
      <c r="I23" s="1656"/>
      <c r="J23" s="1656"/>
      <c r="K23" s="1656"/>
      <c r="L23" s="1656"/>
    </row>
    <row r="24" spans="1:12" ht="6" customHeight="1">
      <c r="B24" s="1083"/>
      <c r="C24" s="993"/>
      <c r="D24" s="986"/>
    </row>
    <row r="25" spans="1:12" ht="26.1" customHeight="1">
      <c r="B25" s="207" t="s">
        <v>110</v>
      </c>
      <c r="C25" s="1656" t="s">
        <v>2433</v>
      </c>
      <c r="D25" s="1656"/>
      <c r="E25" s="1656"/>
      <c r="F25" s="1656"/>
      <c r="G25" s="1656"/>
      <c r="H25" s="1656"/>
      <c r="I25" s="1656"/>
      <c r="J25" s="1656"/>
      <c r="K25" s="1656"/>
      <c r="L25" s="1656"/>
    </row>
    <row r="26" spans="1:12" ht="6" customHeight="1">
      <c r="B26" s="1083"/>
      <c r="C26" s="993"/>
      <c r="D26" s="986"/>
    </row>
    <row r="27" spans="1:12" ht="26.1" customHeight="1">
      <c r="A27" s="986"/>
      <c r="B27" s="207" t="s">
        <v>111</v>
      </c>
      <c r="C27" s="1656" t="s">
        <v>2208</v>
      </c>
      <c r="D27" s="1656"/>
      <c r="E27" s="1656"/>
      <c r="F27" s="1656"/>
      <c r="G27" s="1656"/>
      <c r="H27" s="1656"/>
      <c r="I27" s="1656"/>
      <c r="J27" s="1656"/>
      <c r="K27" s="1656"/>
      <c r="L27" s="1656"/>
    </row>
    <row r="28" spans="1:12" ht="6" customHeight="1">
      <c r="A28" s="207"/>
      <c r="B28" s="207"/>
      <c r="C28" s="993"/>
      <c r="D28" s="986"/>
    </row>
    <row r="29" spans="1:12" s="994" customFormat="1" ht="26.1" customHeight="1">
      <c r="A29" s="995"/>
      <c r="B29" s="207" t="s">
        <v>112</v>
      </c>
      <c r="C29" s="1752" t="s">
        <v>2437</v>
      </c>
      <c r="D29" s="1752"/>
      <c r="E29" s="1752"/>
      <c r="F29" s="1752"/>
      <c r="G29" s="1752"/>
      <c r="H29" s="1752"/>
      <c r="I29" s="1752"/>
      <c r="J29" s="1752"/>
      <c r="K29" s="1752"/>
      <c r="L29" s="1752"/>
    </row>
    <row r="30" spans="1:12" ht="6" customHeight="1">
      <c r="A30" s="207"/>
      <c r="B30" s="207"/>
      <c r="C30" s="993"/>
      <c r="D30" s="986"/>
    </row>
    <row r="31" spans="1:12" ht="26.1" customHeight="1">
      <c r="A31" s="207"/>
      <c r="B31" s="207" t="s">
        <v>185</v>
      </c>
      <c r="C31" s="1656" t="s">
        <v>2177</v>
      </c>
      <c r="D31" s="1656"/>
      <c r="E31" s="1656"/>
      <c r="F31" s="1656"/>
      <c r="G31" s="1656"/>
      <c r="H31" s="1656"/>
      <c r="I31" s="1656"/>
      <c r="J31" s="1656"/>
      <c r="K31" s="1656"/>
      <c r="L31" s="1656"/>
    </row>
    <row r="32" spans="1:12" ht="6" customHeight="1">
      <c r="A32" s="207"/>
      <c r="B32" s="207"/>
      <c r="C32" s="993"/>
      <c r="D32" s="986"/>
    </row>
    <row r="33" spans="1:13" ht="65.099999999999994" customHeight="1">
      <c r="B33" s="1656" t="s">
        <v>2209</v>
      </c>
      <c r="C33" s="1656"/>
      <c r="D33" s="1656"/>
      <c r="E33" s="1656"/>
      <c r="F33" s="1656"/>
      <c r="G33" s="1656"/>
      <c r="H33" s="1656"/>
      <c r="I33" s="1656"/>
      <c r="J33" s="1656"/>
      <c r="K33" s="1656"/>
      <c r="L33" s="1656"/>
    </row>
    <row r="34" spans="1:13" ht="21.95" customHeight="1">
      <c r="B34" s="1593" t="s">
        <v>2212</v>
      </c>
      <c r="C34" s="1593"/>
      <c r="D34" s="1593"/>
      <c r="E34" s="1593"/>
      <c r="F34" s="1593"/>
      <c r="G34" s="1593"/>
      <c r="H34" s="1593"/>
      <c r="I34" s="1593"/>
      <c r="J34" s="1593"/>
      <c r="K34" s="1593"/>
      <c r="L34" s="1593"/>
    </row>
    <row r="35" spans="1:13" ht="23.1" customHeight="1">
      <c r="B35" s="1593" t="s">
        <v>1497</v>
      </c>
      <c r="C35" s="1593"/>
      <c r="D35" s="1593"/>
      <c r="E35" s="1593"/>
      <c r="F35" s="1593"/>
      <c r="G35" s="1593"/>
      <c r="H35" s="1593"/>
      <c r="I35" s="1593"/>
      <c r="J35" s="1593"/>
      <c r="K35" s="1593"/>
      <c r="L35" s="1593"/>
    </row>
    <row r="36" spans="1:13" ht="24.95" customHeight="1" thickBot="1">
      <c r="B36" s="999" t="s">
        <v>182</v>
      </c>
      <c r="C36" s="999"/>
      <c r="E36" s="2143" t="str">
        <f>IF('FORM 1040-1'!D32="","",('FORM 1040-1'!D32))</f>
        <v/>
      </c>
      <c r="F36" s="2143"/>
      <c r="G36" s="2143"/>
      <c r="H36" s="997"/>
      <c r="I36" s="995" t="s">
        <v>24</v>
      </c>
      <c r="J36" s="1749"/>
      <c r="K36" s="1749"/>
      <c r="L36" s="1749"/>
    </row>
    <row r="37" spans="1:13" ht="15" customHeight="1" thickTop="1">
      <c r="B37" s="999"/>
      <c r="C37" s="999"/>
      <c r="E37" s="2245" t="s">
        <v>2206</v>
      </c>
      <c r="F37" s="2245"/>
      <c r="G37" s="2245"/>
      <c r="H37" s="40"/>
      <c r="I37" s="40"/>
      <c r="J37" s="2245" t="s">
        <v>2207</v>
      </c>
      <c r="K37" s="2245"/>
      <c r="L37" s="2245"/>
    </row>
    <row r="38" spans="1:13" ht="20.100000000000001" customHeight="1" thickBot="1">
      <c r="B38" s="1593" t="s">
        <v>183</v>
      </c>
      <c r="C38" s="1593"/>
      <c r="D38" s="1593"/>
      <c r="E38" s="1605"/>
      <c r="F38" s="1605"/>
      <c r="G38" s="1605"/>
      <c r="I38" s="1593" t="s">
        <v>184</v>
      </c>
      <c r="J38" s="1593"/>
      <c r="K38" s="1605"/>
      <c r="L38" s="1605"/>
    </row>
    <row r="39" spans="1:13" s="40" customFormat="1" ht="6" customHeight="1" thickTop="1"/>
    <row r="40" spans="1:13" ht="20.100000000000001" customHeight="1" thickBot="1">
      <c r="B40" s="1593" t="s">
        <v>25</v>
      </c>
      <c r="C40" s="1593"/>
      <c r="D40" s="1593"/>
      <c r="E40" s="1605"/>
      <c r="F40" s="1605"/>
      <c r="G40" s="1605"/>
      <c r="H40" s="986"/>
      <c r="I40" s="1593" t="s">
        <v>26</v>
      </c>
      <c r="J40" s="1593"/>
      <c r="K40" s="1605"/>
      <c r="L40" s="1605"/>
    </row>
    <row r="41" spans="1:13" ht="20.100000000000001" customHeight="1" thickTop="1">
      <c r="B41" s="1593" t="s">
        <v>27</v>
      </c>
      <c r="C41" s="1593"/>
      <c r="D41" s="1593"/>
      <c r="G41" s="986"/>
      <c r="H41" s="986"/>
      <c r="I41" s="986"/>
      <c r="J41" s="986"/>
      <c r="K41" s="986"/>
      <c r="L41" s="986"/>
    </row>
    <row r="42" spans="1:13" ht="23.1" customHeight="1">
      <c r="B42" s="1593" t="s">
        <v>1498</v>
      </c>
      <c r="C42" s="1593"/>
      <c r="D42" s="1593"/>
      <c r="E42" s="1593"/>
      <c r="F42" s="1593"/>
      <c r="G42" s="1593"/>
      <c r="H42" s="1593"/>
      <c r="I42" s="1593"/>
      <c r="J42" s="1593"/>
      <c r="K42" s="1593"/>
      <c r="L42" s="1593"/>
    </row>
    <row r="43" spans="1:13" ht="35.1" customHeight="1" thickBot="1">
      <c r="B43" s="994" t="s">
        <v>287</v>
      </c>
      <c r="C43" s="994"/>
      <c r="D43" s="994"/>
      <c r="E43" s="994"/>
      <c r="F43" s="2246"/>
      <c r="G43" s="2246"/>
      <c r="H43" s="1008"/>
      <c r="I43" s="995" t="s">
        <v>288</v>
      </c>
      <c r="J43" s="1008"/>
      <c r="K43" s="1749"/>
      <c r="L43" s="1749"/>
      <c r="M43" s="985"/>
    </row>
    <row r="44" spans="1:13" s="985" customFormat="1" ht="20.100000000000001" customHeight="1" thickTop="1">
      <c r="A44" s="999"/>
      <c r="B44" s="999"/>
      <c r="C44" s="999"/>
      <c r="D44" s="999"/>
      <c r="E44" s="1596"/>
      <c r="F44" s="1596"/>
      <c r="G44" s="1596"/>
      <c r="H44" s="475"/>
      <c r="I44" s="475"/>
      <c r="J44" s="475"/>
      <c r="K44" s="476" t="s">
        <v>289</v>
      </c>
      <c r="L44" s="476"/>
      <c r="M44" s="477"/>
    </row>
    <row r="45" spans="1:13" ht="15" customHeight="1">
      <c r="E45" s="477"/>
      <c r="F45" s="477"/>
      <c r="G45" s="477"/>
      <c r="H45" s="986"/>
      <c r="I45" s="986"/>
      <c r="J45" s="986"/>
      <c r="K45" s="986"/>
      <c r="L45" s="986"/>
    </row>
    <row r="46" spans="1:13" ht="20.100000000000001" customHeight="1">
      <c r="G46" s="986"/>
      <c r="H46" s="986"/>
      <c r="I46" s="986"/>
      <c r="J46" s="986"/>
      <c r="K46" s="986"/>
      <c r="L46" s="986"/>
    </row>
    <row r="47" spans="1:13" ht="20.100000000000001" customHeight="1">
      <c r="G47" s="986"/>
      <c r="H47" s="986"/>
      <c r="I47" s="986"/>
      <c r="J47" s="986"/>
      <c r="K47" s="986"/>
      <c r="L47" s="986"/>
    </row>
    <row r="48" spans="1:13" ht="20.100000000000001" customHeight="1">
      <c r="G48" s="986"/>
      <c r="H48" s="986"/>
      <c r="I48" s="986"/>
      <c r="J48" s="986"/>
      <c r="K48" s="986"/>
      <c r="L48" s="986"/>
    </row>
    <row r="49" spans="7:12" ht="15" customHeight="1">
      <c r="G49" s="986"/>
      <c r="H49" s="986"/>
      <c r="I49" s="986"/>
      <c r="J49" s="986"/>
      <c r="K49" s="986"/>
      <c r="L49" s="986"/>
    </row>
    <row r="50" spans="7:12">
      <c r="G50" s="986"/>
      <c r="H50" s="986"/>
      <c r="I50" s="986"/>
      <c r="J50" s="986"/>
      <c r="K50" s="986"/>
      <c r="L50" s="986"/>
    </row>
    <row r="51" spans="7:12">
      <c r="G51" s="986"/>
      <c r="H51" s="986"/>
      <c r="I51" s="986"/>
      <c r="J51" s="986"/>
      <c r="K51" s="986"/>
      <c r="L51" s="986"/>
    </row>
    <row r="52" spans="7:12">
      <c r="G52" s="986"/>
      <c r="H52" s="986"/>
      <c r="I52" s="986"/>
      <c r="J52" s="986"/>
      <c r="K52" s="986"/>
      <c r="L52" s="986"/>
    </row>
    <row r="53" spans="7:12">
      <c r="G53" s="986"/>
      <c r="H53" s="986"/>
      <c r="I53" s="986"/>
      <c r="J53" s="986"/>
      <c r="K53" s="986"/>
      <c r="L53" s="986"/>
    </row>
    <row r="54" spans="7:12">
      <c r="G54" s="986"/>
      <c r="H54" s="986"/>
      <c r="I54" s="986"/>
      <c r="J54" s="986"/>
      <c r="K54" s="986"/>
      <c r="L54" s="986"/>
    </row>
    <row r="55" spans="7:12">
      <c r="G55" s="986"/>
      <c r="H55" s="986"/>
      <c r="I55" s="986"/>
      <c r="J55" s="986"/>
      <c r="K55" s="986"/>
      <c r="L55" s="986"/>
    </row>
    <row r="56" spans="7:12">
      <c r="G56" s="986"/>
      <c r="H56" s="986"/>
      <c r="I56" s="986"/>
      <c r="J56" s="986"/>
      <c r="K56" s="986"/>
      <c r="L56" s="986"/>
    </row>
    <row r="57" spans="7:12">
      <c r="G57" s="986"/>
      <c r="H57" s="986"/>
      <c r="I57" s="986"/>
      <c r="J57" s="986"/>
      <c r="K57" s="986"/>
      <c r="L57" s="986"/>
    </row>
    <row r="58" spans="7:12">
      <c r="G58" s="986"/>
      <c r="H58" s="986"/>
      <c r="I58" s="986"/>
      <c r="J58" s="986"/>
      <c r="K58" s="986"/>
      <c r="L58" s="986"/>
    </row>
    <row r="59" spans="7:12">
      <c r="G59" s="986"/>
      <c r="H59" s="986"/>
      <c r="I59" s="986"/>
      <c r="J59" s="986"/>
      <c r="K59" s="986"/>
      <c r="L59" s="986"/>
    </row>
    <row r="60" spans="7:12">
      <c r="G60" s="986"/>
      <c r="H60" s="986"/>
      <c r="I60" s="986"/>
      <c r="J60" s="986"/>
      <c r="K60" s="986"/>
      <c r="L60" s="986"/>
    </row>
    <row r="61" spans="7:12">
      <c r="G61" s="986"/>
      <c r="H61" s="986"/>
      <c r="I61" s="986"/>
      <c r="J61" s="986"/>
      <c r="K61" s="986"/>
      <c r="L61" s="986"/>
    </row>
    <row r="62" spans="7:12">
      <c r="G62" s="986"/>
      <c r="H62" s="986"/>
      <c r="I62" s="986"/>
      <c r="J62" s="986"/>
      <c r="K62" s="986"/>
      <c r="L62" s="986"/>
    </row>
    <row r="63" spans="7:12">
      <c r="G63" s="986"/>
      <c r="H63" s="986"/>
      <c r="I63" s="986"/>
      <c r="J63" s="986"/>
      <c r="K63" s="986"/>
      <c r="L63" s="986"/>
    </row>
    <row r="64" spans="7:12">
      <c r="G64" s="986"/>
      <c r="H64" s="986"/>
      <c r="I64" s="986"/>
      <c r="J64" s="986"/>
      <c r="K64" s="986"/>
      <c r="L64" s="986"/>
    </row>
    <row r="65" spans="7:12">
      <c r="G65" s="986"/>
      <c r="H65" s="986"/>
      <c r="I65" s="986"/>
      <c r="J65" s="986"/>
      <c r="K65" s="986"/>
      <c r="L65" s="986"/>
    </row>
    <row r="66" spans="7:12">
      <c r="G66" s="986"/>
      <c r="H66" s="986"/>
      <c r="I66" s="986"/>
      <c r="J66" s="986"/>
      <c r="K66" s="986"/>
      <c r="L66" s="986"/>
    </row>
    <row r="67" spans="7:12">
      <c r="G67" s="986"/>
      <c r="H67" s="986"/>
      <c r="I67" s="986"/>
      <c r="J67" s="986"/>
      <c r="K67" s="986"/>
      <c r="L67" s="986"/>
    </row>
    <row r="68" spans="7:12">
      <c r="G68" s="986"/>
      <c r="H68" s="986"/>
      <c r="I68" s="986"/>
      <c r="J68" s="986"/>
      <c r="K68" s="986"/>
      <c r="L68" s="986"/>
    </row>
    <row r="69" spans="7:12">
      <c r="G69" s="986"/>
      <c r="H69" s="986"/>
      <c r="I69" s="986"/>
      <c r="J69" s="986"/>
      <c r="K69" s="986"/>
      <c r="L69" s="986"/>
    </row>
    <row r="70" spans="7:12">
      <c r="G70" s="986"/>
      <c r="H70" s="986"/>
      <c r="I70" s="986"/>
      <c r="J70" s="986"/>
      <c r="K70" s="986"/>
      <c r="L70" s="986"/>
    </row>
    <row r="71" spans="7:12">
      <c r="G71" s="986"/>
      <c r="H71" s="986"/>
      <c r="I71" s="986"/>
      <c r="J71" s="986"/>
      <c r="K71" s="986"/>
      <c r="L71" s="986"/>
    </row>
    <row r="72" spans="7:12">
      <c r="G72" s="986"/>
      <c r="H72" s="986"/>
      <c r="I72" s="986"/>
      <c r="J72" s="986"/>
      <c r="K72" s="986"/>
      <c r="L72" s="986"/>
    </row>
    <row r="73" spans="7:12">
      <c r="G73" s="986"/>
      <c r="H73" s="986"/>
      <c r="I73" s="986"/>
      <c r="J73" s="986"/>
      <c r="K73" s="986"/>
      <c r="L73" s="986"/>
    </row>
    <row r="74" spans="7:12">
      <c r="G74" s="986"/>
      <c r="H74" s="986"/>
      <c r="I74" s="986"/>
      <c r="J74" s="986"/>
      <c r="K74" s="986"/>
      <c r="L74" s="986"/>
    </row>
    <row r="75" spans="7:12">
      <c r="G75" s="986"/>
      <c r="H75" s="986"/>
      <c r="I75" s="986"/>
      <c r="J75" s="986"/>
      <c r="K75" s="986"/>
      <c r="L75" s="986"/>
    </row>
    <row r="76" spans="7:12">
      <c r="G76" s="986"/>
      <c r="H76" s="986"/>
      <c r="I76" s="986"/>
      <c r="J76" s="986"/>
      <c r="K76" s="986"/>
      <c r="L76" s="986"/>
    </row>
    <row r="77" spans="7:12">
      <c r="G77" s="986"/>
      <c r="H77" s="986"/>
      <c r="I77" s="986"/>
      <c r="J77" s="986"/>
      <c r="K77" s="986"/>
      <c r="L77" s="986"/>
    </row>
    <row r="78" spans="7:12">
      <c r="G78" s="986"/>
      <c r="H78" s="986"/>
      <c r="I78" s="986"/>
      <c r="J78" s="986"/>
      <c r="K78" s="986"/>
      <c r="L78" s="986"/>
    </row>
    <row r="79" spans="7:12">
      <c r="G79" s="986"/>
      <c r="H79" s="986"/>
      <c r="I79" s="986"/>
      <c r="J79" s="986"/>
      <c r="K79" s="986"/>
      <c r="L79" s="986"/>
    </row>
    <row r="80" spans="7:12">
      <c r="G80" s="986"/>
      <c r="H80" s="986"/>
      <c r="I80" s="986"/>
      <c r="J80" s="986"/>
      <c r="K80" s="986"/>
      <c r="L80" s="986"/>
    </row>
    <row r="81" spans="7:12">
      <c r="G81" s="986"/>
      <c r="H81" s="986"/>
      <c r="I81" s="986"/>
      <c r="J81" s="986"/>
      <c r="K81" s="986"/>
      <c r="L81" s="986"/>
    </row>
    <row r="82" spans="7:12">
      <c r="G82" s="986"/>
      <c r="H82" s="986"/>
      <c r="I82" s="986"/>
      <c r="J82" s="986"/>
      <c r="K82" s="986"/>
      <c r="L82" s="986"/>
    </row>
    <row r="83" spans="7:12">
      <c r="G83" s="986"/>
      <c r="H83" s="986"/>
      <c r="I83" s="986"/>
      <c r="J83" s="986"/>
      <c r="K83" s="986"/>
      <c r="L83" s="986"/>
    </row>
    <row r="84" spans="7:12">
      <c r="G84" s="986"/>
      <c r="H84" s="986"/>
      <c r="I84" s="986"/>
      <c r="J84" s="986"/>
      <c r="K84" s="986"/>
      <c r="L84" s="986"/>
    </row>
    <row r="85" spans="7:12">
      <c r="G85" s="986"/>
      <c r="H85" s="986"/>
      <c r="I85" s="986"/>
      <c r="J85" s="986"/>
      <c r="K85" s="986"/>
      <c r="L85" s="986"/>
    </row>
    <row r="86" spans="7:12">
      <c r="G86" s="986"/>
      <c r="H86" s="986"/>
      <c r="I86" s="986"/>
      <c r="J86" s="986"/>
      <c r="K86" s="986"/>
      <c r="L86" s="986"/>
    </row>
    <row r="87" spans="7:12">
      <c r="G87" s="986"/>
      <c r="H87" s="986"/>
      <c r="I87" s="986"/>
      <c r="J87" s="986"/>
      <c r="K87" s="986"/>
      <c r="L87" s="986"/>
    </row>
    <row r="88" spans="7:12">
      <c r="G88" s="986"/>
      <c r="H88" s="986"/>
      <c r="I88" s="986"/>
      <c r="J88" s="986"/>
      <c r="K88" s="986"/>
      <c r="L88" s="986"/>
    </row>
    <row r="89" spans="7:12">
      <c r="G89" s="986"/>
      <c r="H89" s="986"/>
      <c r="I89" s="986"/>
      <c r="J89" s="986"/>
      <c r="K89" s="986"/>
      <c r="L89" s="986"/>
    </row>
    <row r="90" spans="7:12">
      <c r="G90" s="986"/>
      <c r="H90" s="986"/>
      <c r="I90" s="986"/>
      <c r="J90" s="986"/>
      <c r="K90" s="986"/>
      <c r="L90" s="986"/>
    </row>
    <row r="91" spans="7:12">
      <c r="G91" s="986"/>
      <c r="H91" s="986"/>
      <c r="I91" s="986"/>
      <c r="J91" s="986"/>
      <c r="K91" s="986"/>
      <c r="L91" s="986"/>
    </row>
    <row r="92" spans="7:12">
      <c r="G92" s="986"/>
      <c r="H92" s="986"/>
      <c r="I92" s="986"/>
      <c r="J92" s="986"/>
      <c r="K92" s="986"/>
      <c r="L92" s="986"/>
    </row>
    <row r="93" spans="7:12">
      <c r="G93" s="986"/>
      <c r="H93" s="986"/>
      <c r="I93" s="986"/>
      <c r="J93" s="986"/>
      <c r="K93" s="986"/>
      <c r="L93" s="986"/>
    </row>
    <row r="94" spans="7:12">
      <c r="G94" s="986"/>
      <c r="H94" s="986"/>
      <c r="I94" s="986"/>
      <c r="J94" s="986"/>
      <c r="K94" s="986"/>
      <c r="L94" s="986"/>
    </row>
    <row r="95" spans="7:12">
      <c r="G95" s="986"/>
      <c r="H95" s="986"/>
      <c r="I95" s="986"/>
      <c r="J95" s="986"/>
      <c r="K95" s="986"/>
      <c r="L95" s="986"/>
    </row>
    <row r="96" spans="7:12">
      <c r="G96" s="986"/>
      <c r="H96" s="986"/>
      <c r="I96" s="986"/>
      <c r="J96" s="986"/>
      <c r="K96" s="986"/>
      <c r="L96" s="986"/>
    </row>
    <row r="97" spans="7:12">
      <c r="G97" s="986"/>
      <c r="H97" s="986"/>
      <c r="I97" s="986"/>
      <c r="J97" s="986"/>
      <c r="K97" s="986"/>
      <c r="L97" s="986"/>
    </row>
    <row r="98" spans="7:12">
      <c r="G98" s="986"/>
      <c r="H98" s="986"/>
      <c r="I98" s="986"/>
      <c r="J98" s="986"/>
      <c r="K98" s="986"/>
      <c r="L98" s="986"/>
    </row>
    <row r="99" spans="7:12">
      <c r="G99" s="986"/>
      <c r="H99" s="986"/>
      <c r="I99" s="986"/>
      <c r="J99" s="986"/>
      <c r="K99" s="986"/>
      <c r="L99" s="986"/>
    </row>
    <row r="100" spans="7:12">
      <c r="G100" s="986"/>
      <c r="H100" s="986"/>
      <c r="I100" s="986"/>
      <c r="J100" s="986"/>
      <c r="K100" s="986"/>
      <c r="L100" s="986"/>
    </row>
    <row r="101" spans="7:12">
      <c r="G101" s="986"/>
      <c r="H101" s="986"/>
      <c r="I101" s="986"/>
      <c r="J101" s="986"/>
      <c r="K101" s="986"/>
      <c r="L101" s="986"/>
    </row>
    <row r="102" spans="7:12">
      <c r="G102" s="986"/>
      <c r="H102" s="986"/>
      <c r="I102" s="986"/>
      <c r="J102" s="986"/>
      <c r="K102" s="986"/>
      <c r="L102" s="986"/>
    </row>
    <row r="103" spans="7:12">
      <c r="G103" s="986"/>
      <c r="H103" s="986"/>
      <c r="I103" s="986"/>
      <c r="J103" s="986"/>
      <c r="K103" s="986"/>
      <c r="L103" s="986"/>
    </row>
    <row r="104" spans="7:12">
      <c r="G104" s="986"/>
      <c r="H104" s="986"/>
      <c r="I104" s="986"/>
      <c r="J104" s="986"/>
      <c r="K104" s="986"/>
      <c r="L104" s="986"/>
    </row>
    <row r="105" spans="7:12">
      <c r="G105" s="986"/>
      <c r="H105" s="986"/>
      <c r="I105" s="986"/>
      <c r="J105" s="986"/>
      <c r="K105" s="986"/>
      <c r="L105" s="986"/>
    </row>
    <row r="106" spans="7:12">
      <c r="G106" s="986"/>
      <c r="H106" s="986"/>
      <c r="I106" s="986"/>
      <c r="J106" s="986"/>
      <c r="K106" s="986"/>
      <c r="L106" s="986"/>
    </row>
    <row r="107" spans="7:12">
      <c r="G107" s="986"/>
      <c r="H107" s="986"/>
      <c r="I107" s="986"/>
      <c r="J107" s="986"/>
      <c r="K107" s="986"/>
      <c r="L107" s="986"/>
    </row>
    <row r="108" spans="7:12">
      <c r="G108" s="986"/>
      <c r="H108" s="986"/>
      <c r="I108" s="986"/>
      <c r="J108" s="986"/>
      <c r="K108" s="986"/>
      <c r="L108" s="986"/>
    </row>
    <row r="109" spans="7:12">
      <c r="G109" s="986"/>
      <c r="H109" s="986"/>
      <c r="I109" s="986"/>
      <c r="J109" s="986"/>
      <c r="K109" s="986"/>
      <c r="L109" s="986"/>
    </row>
    <row r="110" spans="7:12">
      <c r="G110" s="986"/>
      <c r="H110" s="986"/>
      <c r="I110" s="986"/>
      <c r="J110" s="986"/>
      <c r="K110" s="986"/>
      <c r="L110" s="986"/>
    </row>
    <row r="111" spans="7:12">
      <c r="G111" s="986"/>
      <c r="H111" s="986"/>
      <c r="I111" s="986"/>
      <c r="J111" s="986"/>
      <c r="K111" s="986"/>
      <c r="L111" s="986"/>
    </row>
    <row r="112" spans="7:12">
      <c r="G112" s="986"/>
      <c r="H112" s="986"/>
      <c r="I112" s="986"/>
      <c r="J112" s="986"/>
      <c r="K112" s="986"/>
      <c r="L112" s="986"/>
    </row>
    <row r="113" spans="7:12">
      <c r="G113" s="986"/>
      <c r="H113" s="986"/>
      <c r="I113" s="986"/>
      <c r="J113" s="986"/>
      <c r="K113" s="986"/>
      <c r="L113" s="986"/>
    </row>
    <row r="114" spans="7:12">
      <c r="G114" s="986"/>
      <c r="H114" s="986"/>
      <c r="I114" s="986"/>
      <c r="J114" s="986"/>
      <c r="K114" s="986"/>
      <c r="L114" s="986"/>
    </row>
    <row r="115" spans="7:12">
      <c r="G115" s="986"/>
      <c r="H115" s="986"/>
      <c r="I115" s="986"/>
      <c r="J115" s="986"/>
      <c r="K115" s="986"/>
      <c r="L115" s="986"/>
    </row>
    <row r="116" spans="7:12">
      <c r="G116" s="986"/>
      <c r="H116" s="986"/>
      <c r="I116" s="986"/>
      <c r="J116" s="986"/>
      <c r="K116" s="986"/>
      <c r="L116" s="986"/>
    </row>
    <row r="117" spans="7:12">
      <c r="G117" s="986"/>
      <c r="H117" s="986"/>
      <c r="I117" s="986"/>
      <c r="J117" s="986"/>
      <c r="K117" s="986"/>
      <c r="L117" s="986"/>
    </row>
    <row r="118" spans="7:12">
      <c r="G118" s="986"/>
      <c r="H118" s="986"/>
      <c r="I118" s="986"/>
      <c r="J118" s="986"/>
      <c r="K118" s="986"/>
      <c r="L118" s="986"/>
    </row>
    <row r="119" spans="7:12">
      <c r="G119" s="986"/>
      <c r="H119" s="986"/>
      <c r="I119" s="986"/>
      <c r="J119" s="986"/>
      <c r="K119" s="986"/>
      <c r="L119" s="986"/>
    </row>
    <row r="120" spans="7:12">
      <c r="G120" s="986"/>
      <c r="H120" s="986"/>
      <c r="I120" s="986"/>
      <c r="J120" s="986"/>
      <c r="K120" s="986"/>
      <c r="L120" s="986"/>
    </row>
    <row r="121" spans="7:12">
      <c r="G121" s="986"/>
      <c r="H121" s="986"/>
      <c r="I121" s="986"/>
      <c r="J121" s="986"/>
      <c r="K121" s="986"/>
      <c r="L121" s="986"/>
    </row>
    <row r="122" spans="7:12">
      <c r="G122" s="986"/>
      <c r="H122" s="986"/>
      <c r="I122" s="986"/>
      <c r="J122" s="986"/>
      <c r="K122" s="986"/>
      <c r="L122" s="986"/>
    </row>
    <row r="123" spans="7:12">
      <c r="G123" s="986"/>
      <c r="H123" s="986"/>
      <c r="I123" s="986"/>
      <c r="J123" s="986"/>
      <c r="K123" s="986"/>
      <c r="L123" s="986"/>
    </row>
    <row r="124" spans="7:12">
      <c r="G124" s="986"/>
      <c r="H124" s="986"/>
      <c r="I124" s="986"/>
      <c r="J124" s="986"/>
      <c r="K124" s="986"/>
      <c r="L124" s="986"/>
    </row>
    <row r="125" spans="7:12">
      <c r="G125" s="986"/>
      <c r="H125" s="986"/>
      <c r="I125" s="986"/>
      <c r="J125" s="986"/>
      <c r="K125" s="986"/>
      <c r="L125" s="986"/>
    </row>
    <row r="126" spans="7:12">
      <c r="G126" s="986"/>
      <c r="H126" s="986"/>
      <c r="I126" s="986"/>
      <c r="J126" s="986"/>
      <c r="K126" s="986"/>
      <c r="L126" s="986"/>
    </row>
    <row r="127" spans="7:12">
      <c r="G127" s="986"/>
      <c r="H127" s="986"/>
      <c r="I127" s="986"/>
      <c r="J127" s="986"/>
      <c r="K127" s="986"/>
      <c r="L127" s="986"/>
    </row>
    <row r="128" spans="7:12">
      <c r="G128" s="986"/>
      <c r="H128" s="986"/>
      <c r="I128" s="986"/>
      <c r="J128" s="986"/>
      <c r="K128" s="986"/>
      <c r="L128" s="986"/>
    </row>
    <row r="129" spans="7:12">
      <c r="G129" s="986"/>
      <c r="H129" s="986"/>
      <c r="I129" s="986"/>
      <c r="J129" s="986"/>
      <c r="K129" s="986"/>
      <c r="L129" s="986"/>
    </row>
    <row r="130" spans="7:12">
      <c r="G130" s="986"/>
      <c r="H130" s="986"/>
      <c r="I130" s="986"/>
      <c r="J130" s="986"/>
      <c r="K130" s="986"/>
      <c r="L130" s="986"/>
    </row>
    <row r="131" spans="7:12">
      <c r="G131" s="986"/>
      <c r="H131" s="986"/>
      <c r="I131" s="986"/>
      <c r="J131" s="986"/>
      <c r="K131" s="986"/>
      <c r="L131" s="986"/>
    </row>
    <row r="132" spans="7:12">
      <c r="G132" s="986"/>
      <c r="H132" s="986"/>
      <c r="I132" s="986"/>
      <c r="J132" s="986"/>
      <c r="K132" s="986"/>
      <c r="L132" s="986"/>
    </row>
    <row r="133" spans="7:12">
      <c r="G133" s="986"/>
      <c r="H133" s="986"/>
      <c r="I133" s="986"/>
      <c r="J133" s="986"/>
      <c r="K133" s="986"/>
      <c r="L133" s="986"/>
    </row>
    <row r="134" spans="7:12">
      <c r="G134" s="986"/>
      <c r="H134" s="986"/>
      <c r="I134" s="986"/>
      <c r="J134" s="986"/>
      <c r="K134" s="986"/>
      <c r="L134" s="986"/>
    </row>
    <row r="135" spans="7:12">
      <c r="G135" s="986"/>
      <c r="H135" s="986"/>
      <c r="I135" s="986"/>
      <c r="J135" s="986"/>
      <c r="K135" s="986"/>
      <c r="L135" s="986"/>
    </row>
    <row r="136" spans="7:12">
      <c r="G136" s="986"/>
      <c r="H136" s="986"/>
      <c r="I136" s="986"/>
      <c r="J136" s="986"/>
      <c r="K136" s="986"/>
      <c r="L136" s="986"/>
    </row>
    <row r="137" spans="7:12">
      <c r="G137" s="986"/>
      <c r="H137" s="986"/>
      <c r="I137" s="986"/>
      <c r="J137" s="986"/>
      <c r="K137" s="986"/>
      <c r="L137" s="986"/>
    </row>
    <row r="138" spans="7:12">
      <c r="G138" s="986"/>
      <c r="H138" s="986"/>
      <c r="I138" s="986"/>
      <c r="J138" s="986"/>
      <c r="K138" s="986"/>
      <c r="L138" s="986"/>
    </row>
    <row r="139" spans="7:12">
      <c r="G139" s="986"/>
      <c r="H139" s="986"/>
      <c r="I139" s="986"/>
      <c r="J139" s="986"/>
      <c r="K139" s="986"/>
      <c r="L139" s="986"/>
    </row>
    <row r="140" spans="7:12">
      <c r="G140" s="986"/>
      <c r="H140" s="986"/>
      <c r="I140" s="986"/>
      <c r="J140" s="986"/>
      <c r="K140" s="986"/>
      <c r="L140" s="986"/>
    </row>
    <row r="141" spans="7:12">
      <c r="G141" s="986"/>
      <c r="H141" s="986"/>
      <c r="I141" s="986"/>
      <c r="J141" s="986"/>
      <c r="K141" s="986"/>
      <c r="L141" s="986"/>
    </row>
    <row r="142" spans="7:12">
      <c r="G142" s="986"/>
      <c r="H142" s="986"/>
      <c r="I142" s="986"/>
      <c r="J142" s="986"/>
      <c r="K142" s="986"/>
      <c r="L142" s="986"/>
    </row>
    <row r="143" spans="7:12">
      <c r="G143" s="986"/>
      <c r="H143" s="986"/>
      <c r="I143" s="986"/>
      <c r="J143" s="986"/>
      <c r="K143" s="986"/>
      <c r="L143" s="986"/>
    </row>
    <row r="144" spans="7:12">
      <c r="G144" s="986"/>
      <c r="H144" s="986"/>
      <c r="I144" s="986"/>
      <c r="J144" s="986"/>
      <c r="K144" s="986"/>
      <c r="L144" s="986"/>
    </row>
    <row r="145" spans="7:12">
      <c r="G145" s="986"/>
      <c r="H145" s="986"/>
      <c r="I145" s="986"/>
      <c r="J145" s="986"/>
      <c r="K145" s="986"/>
      <c r="L145" s="986"/>
    </row>
    <row r="146" spans="7:12">
      <c r="G146" s="986"/>
      <c r="H146" s="986"/>
      <c r="I146" s="986"/>
      <c r="J146" s="986"/>
      <c r="K146" s="986"/>
      <c r="L146" s="986"/>
    </row>
    <row r="147" spans="7:12">
      <c r="G147" s="986"/>
      <c r="H147" s="986"/>
      <c r="I147" s="986"/>
      <c r="J147" s="986"/>
      <c r="K147" s="986"/>
      <c r="L147" s="986"/>
    </row>
    <row r="148" spans="7:12">
      <c r="G148" s="986"/>
      <c r="H148" s="986"/>
      <c r="I148" s="986"/>
      <c r="J148" s="986"/>
      <c r="K148" s="986"/>
      <c r="L148" s="986"/>
    </row>
    <row r="149" spans="7:12">
      <c r="G149" s="986"/>
      <c r="H149" s="986"/>
      <c r="I149" s="986"/>
      <c r="J149" s="986"/>
      <c r="K149" s="986"/>
      <c r="L149" s="986"/>
    </row>
    <row r="150" spans="7:12">
      <c r="G150" s="986"/>
      <c r="H150" s="986"/>
      <c r="I150" s="986"/>
      <c r="J150" s="986"/>
      <c r="K150" s="986"/>
      <c r="L150" s="986"/>
    </row>
    <row r="151" spans="7:12">
      <c r="G151" s="986"/>
      <c r="H151" s="986"/>
      <c r="I151" s="986"/>
      <c r="J151" s="986"/>
      <c r="K151" s="986"/>
      <c r="L151" s="986"/>
    </row>
    <row r="152" spans="7:12">
      <c r="G152" s="986"/>
      <c r="H152" s="986"/>
      <c r="I152" s="986"/>
      <c r="J152" s="986"/>
      <c r="K152" s="986"/>
      <c r="L152" s="986"/>
    </row>
    <row r="153" spans="7:12">
      <c r="G153" s="986"/>
      <c r="H153" s="986"/>
      <c r="I153" s="986"/>
      <c r="J153" s="986"/>
      <c r="K153" s="986"/>
      <c r="L153" s="986"/>
    </row>
    <row r="154" spans="7:12">
      <c r="G154" s="986"/>
      <c r="H154" s="986"/>
      <c r="I154" s="986"/>
      <c r="J154" s="986"/>
      <c r="K154" s="986"/>
      <c r="L154" s="986"/>
    </row>
    <row r="155" spans="7:12">
      <c r="G155" s="986"/>
      <c r="H155" s="986"/>
      <c r="I155" s="986"/>
      <c r="J155" s="986"/>
      <c r="K155" s="986"/>
      <c r="L155" s="986"/>
    </row>
    <row r="156" spans="7:12">
      <c r="G156" s="986"/>
      <c r="H156" s="986"/>
      <c r="I156" s="986"/>
      <c r="J156" s="986"/>
      <c r="K156" s="986"/>
      <c r="L156" s="986"/>
    </row>
    <row r="157" spans="7:12">
      <c r="G157" s="986"/>
      <c r="H157" s="986"/>
      <c r="I157" s="986"/>
      <c r="J157" s="986"/>
      <c r="K157" s="986"/>
      <c r="L157" s="986"/>
    </row>
    <row r="158" spans="7:12">
      <c r="G158" s="986"/>
      <c r="H158" s="986"/>
      <c r="I158" s="986"/>
      <c r="J158" s="986"/>
      <c r="K158" s="986"/>
      <c r="L158" s="986"/>
    </row>
    <row r="159" spans="7:12">
      <c r="G159" s="986"/>
      <c r="H159" s="986"/>
      <c r="I159" s="986"/>
      <c r="J159" s="986"/>
      <c r="K159" s="986"/>
      <c r="L159" s="986"/>
    </row>
    <row r="160" spans="7:12">
      <c r="G160" s="986"/>
      <c r="H160" s="986"/>
      <c r="I160" s="986"/>
      <c r="J160" s="986"/>
      <c r="K160" s="986"/>
      <c r="L160" s="986"/>
    </row>
  </sheetData>
  <sheetProtection algorithmName="SHA-512" hashValue="VoSzrPvw8jcFGIe9LP/5CNYjtBGE+bHHvVKKcPjftRArrZwKVETaaGCO1yNb64ArjJLVyw2mDe6vIg2ij5PH6g==" saltValue="eJjqgWmLg1VzRowXGaLTAg==" spinCount="100000" sheet="1" objects="1" scenarios="1"/>
  <mergeCells count="34">
    <mergeCell ref="C29:L29"/>
    <mergeCell ref="C7:L7"/>
    <mergeCell ref="C9:L9"/>
    <mergeCell ref="C11:L11"/>
    <mergeCell ref="C13:L13"/>
    <mergeCell ref="C15:L15"/>
    <mergeCell ref="C17:L17"/>
    <mergeCell ref="C19:L19"/>
    <mergeCell ref="C21:L21"/>
    <mergeCell ref="C23:L23"/>
    <mergeCell ref="C25:L25"/>
    <mergeCell ref="C27:L27"/>
    <mergeCell ref="E38:G38"/>
    <mergeCell ref="I38:J38"/>
    <mergeCell ref="K38:L38"/>
    <mergeCell ref="C31:L31"/>
    <mergeCell ref="B33:L33"/>
    <mergeCell ref="B34:L34"/>
    <mergeCell ref="A3:L3"/>
    <mergeCell ref="F43:G43"/>
    <mergeCell ref="K43:L43"/>
    <mergeCell ref="E44:G44"/>
    <mergeCell ref="B40:D40"/>
    <mergeCell ref="E40:G40"/>
    <mergeCell ref="I40:J40"/>
    <mergeCell ref="K40:L40"/>
    <mergeCell ref="B41:D41"/>
    <mergeCell ref="B42:L42"/>
    <mergeCell ref="B35:L35"/>
    <mergeCell ref="E36:G36"/>
    <mergeCell ref="J36:L36"/>
    <mergeCell ref="E37:G37"/>
    <mergeCell ref="J37:L37"/>
    <mergeCell ref="B38:D38"/>
  </mergeCells>
  <pageMargins left="0.75" right="0.5" top="0.5" bottom="0.75" header="0" footer="0.5"/>
  <pageSetup scale="80" firstPageNumber="29" orientation="portrait" verticalDpi="300" r:id="rId1"/>
  <headerFooter alignWithMargins="0">
    <oddFooter>&amp;C&amp;A&amp;R&amp;D &amp;T</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7">
    <pageSetUpPr fitToPage="1"/>
  </sheetPr>
  <dimension ref="A1:M162"/>
  <sheetViews>
    <sheetView workbookViewId="0"/>
  </sheetViews>
  <sheetFormatPr defaultColWidth="10.7109375" defaultRowHeight="12.75"/>
  <cols>
    <col min="1" max="1" width="6.42578125" style="1045" customWidth="1"/>
    <col min="2" max="3" width="2.7109375" style="1045" customWidth="1"/>
    <col min="4" max="4" width="6.7109375" style="1045" customWidth="1"/>
    <col min="5" max="6" width="9.7109375" style="1045" customWidth="1"/>
    <col min="7" max="7" width="21.5703125" style="1045" customWidth="1"/>
    <col min="8" max="8" width="2.7109375" style="1045" customWidth="1"/>
    <col min="9" max="9" width="6.7109375" style="1045" customWidth="1"/>
    <col min="10" max="10" width="5.7109375" style="1045" customWidth="1"/>
    <col min="11" max="11" width="23.28515625" style="1045" customWidth="1"/>
    <col min="12" max="12" width="18.7109375" style="1045" customWidth="1"/>
    <col min="13" max="13" width="4.7109375" style="1041" customWidth="1"/>
    <col min="14" max="14" width="12.140625" style="1041" customWidth="1"/>
    <col min="15" max="21" width="10.7109375" style="1041" customWidth="1"/>
    <col min="22" max="16384" width="10.7109375" style="1041"/>
  </cols>
  <sheetData>
    <row r="1" spans="1:12">
      <c r="A1" s="1302" t="str">
        <f>IF('FORM 1040-1'!D15="","",'FORM 1040-1'!D15)</f>
        <v/>
      </c>
      <c r="B1" s="1306"/>
      <c r="C1" s="1306"/>
      <c r="D1" s="1306"/>
      <c r="E1" s="1306"/>
      <c r="F1" s="1306"/>
      <c r="G1" s="1306"/>
      <c r="H1" s="1306"/>
      <c r="I1" s="1306"/>
      <c r="J1" s="1306"/>
      <c r="K1" s="1306"/>
      <c r="L1" s="1294" t="str">
        <f>IF('FORM 1040-1'!$E$12="","",'FORM 1040-1'!$E$12)</f>
        <v/>
      </c>
    </row>
    <row r="3" spans="1:12" ht="18.75">
      <c r="A3" s="2247" t="s">
        <v>2304</v>
      </c>
      <c r="B3" s="2247"/>
      <c r="C3" s="2247"/>
      <c r="D3" s="2247"/>
      <c r="E3" s="2247"/>
      <c r="F3" s="2247"/>
      <c r="G3" s="2247"/>
      <c r="H3" s="2247"/>
      <c r="I3" s="2247"/>
      <c r="J3" s="2247"/>
      <c r="K3" s="2247"/>
      <c r="L3" s="2247"/>
    </row>
    <row r="5" spans="1:12" ht="53.1" customHeight="1">
      <c r="A5" s="1656" t="s">
        <v>2264</v>
      </c>
      <c r="B5" s="1656"/>
      <c r="C5" s="1656"/>
      <c r="D5" s="1656"/>
      <c r="E5" s="1656"/>
      <c r="F5" s="1656"/>
      <c r="G5" s="1656"/>
      <c r="H5" s="1656"/>
      <c r="I5" s="1656"/>
      <c r="J5" s="1656"/>
      <c r="K5" s="1656"/>
      <c r="L5" s="1656"/>
    </row>
    <row r="7" spans="1:12" ht="15" customHeight="1">
      <c r="A7" s="1079" t="s">
        <v>2886</v>
      </c>
      <c r="B7" s="1045" t="s">
        <v>933</v>
      </c>
      <c r="F7" s="1053"/>
      <c r="J7" s="1041"/>
      <c r="K7" s="1041"/>
      <c r="L7" s="1041"/>
    </row>
    <row r="8" spans="1:12" ht="6" customHeight="1">
      <c r="F8" s="1053"/>
      <c r="J8" s="1041"/>
      <c r="K8" s="1041"/>
      <c r="L8" s="1041"/>
    </row>
    <row r="9" spans="1:12" s="1044" customFormat="1" ht="15" customHeight="1">
      <c r="A9" s="1045"/>
      <c r="B9" s="1045" t="s">
        <v>53</v>
      </c>
      <c r="C9" s="1656" t="s">
        <v>2099</v>
      </c>
      <c r="D9" s="1656"/>
      <c r="E9" s="1656"/>
      <c r="F9" s="1656"/>
      <c r="G9" s="1656"/>
      <c r="H9" s="1656"/>
      <c r="I9" s="1656"/>
      <c r="J9" s="1656"/>
      <c r="K9" s="1656"/>
      <c r="L9" s="1656"/>
    </row>
    <row r="10" spans="1:12" ht="6" customHeight="1">
      <c r="C10" s="1043"/>
      <c r="D10" s="1041"/>
      <c r="F10" s="1053"/>
      <c r="J10" s="1041"/>
      <c r="K10" s="1041"/>
      <c r="L10" s="1041"/>
    </row>
    <row r="11" spans="1:12" ht="26.1" customHeight="1">
      <c r="B11" s="207" t="s">
        <v>54</v>
      </c>
      <c r="C11" s="1656" t="s">
        <v>2176</v>
      </c>
      <c r="D11" s="1656"/>
      <c r="E11" s="1656"/>
      <c r="F11" s="1656"/>
      <c r="G11" s="1656"/>
      <c r="H11" s="1656"/>
      <c r="I11" s="1656"/>
      <c r="J11" s="1656"/>
      <c r="K11" s="1656"/>
      <c r="L11" s="1656"/>
    </row>
    <row r="12" spans="1:12" ht="6" customHeight="1">
      <c r="C12" s="1042"/>
      <c r="D12" s="1041"/>
      <c r="E12" s="1046"/>
      <c r="F12" s="1046"/>
      <c r="G12" s="1046"/>
      <c r="H12" s="1046"/>
      <c r="I12" s="1046"/>
      <c r="J12" s="1041"/>
      <c r="K12" s="1041"/>
      <c r="L12" s="1041"/>
    </row>
    <row r="13" spans="1:12" ht="26.1" customHeight="1">
      <c r="B13" s="207" t="s">
        <v>55</v>
      </c>
      <c r="C13" s="1656" t="s">
        <v>2237</v>
      </c>
      <c r="D13" s="1656"/>
      <c r="E13" s="1656"/>
      <c r="F13" s="1656"/>
      <c r="G13" s="1656"/>
      <c r="H13" s="1656"/>
      <c r="I13" s="1656"/>
      <c r="J13" s="1656"/>
      <c r="K13" s="1656"/>
      <c r="L13" s="1656"/>
    </row>
    <row r="14" spans="1:12" ht="6" customHeight="1">
      <c r="C14" s="1043"/>
      <c r="D14" s="1041"/>
      <c r="F14" s="1053"/>
      <c r="J14" s="1041"/>
      <c r="K14" s="1041"/>
      <c r="L14" s="1041"/>
    </row>
    <row r="15" spans="1:12" ht="38.450000000000003" customHeight="1">
      <c r="B15" s="207" t="s">
        <v>56</v>
      </c>
      <c r="C15" s="1656" t="s">
        <v>934</v>
      </c>
      <c r="D15" s="1656"/>
      <c r="E15" s="1656"/>
      <c r="F15" s="1656"/>
      <c r="G15" s="1656"/>
      <c r="H15" s="1656"/>
      <c r="I15" s="1656"/>
      <c r="J15" s="1656"/>
      <c r="K15" s="1656"/>
      <c r="L15" s="1656"/>
    </row>
    <row r="16" spans="1:12" ht="6" customHeight="1">
      <c r="B16" s="207"/>
      <c r="C16" s="1042"/>
      <c r="D16" s="1060"/>
      <c r="E16" s="1060"/>
      <c r="F16" s="1060"/>
      <c r="G16" s="1060"/>
      <c r="H16" s="1060"/>
      <c r="I16" s="1060"/>
      <c r="J16" s="1060"/>
      <c r="K16" s="1060"/>
      <c r="L16" s="1060"/>
    </row>
    <row r="17" spans="1:12" ht="26.1" customHeight="1">
      <c r="B17" s="207" t="s">
        <v>105</v>
      </c>
      <c r="C17" s="1656" t="s">
        <v>2210</v>
      </c>
      <c r="D17" s="1656"/>
      <c r="E17" s="1656"/>
      <c r="F17" s="1656"/>
      <c r="G17" s="1656"/>
      <c r="H17" s="1656"/>
      <c r="I17" s="1656"/>
      <c r="J17" s="1656"/>
      <c r="K17" s="1656"/>
      <c r="L17" s="1656"/>
    </row>
    <row r="18" spans="1:12" ht="6" customHeight="1">
      <c r="C18" s="1043"/>
      <c r="D18" s="1041"/>
      <c r="F18" s="1053"/>
      <c r="J18" s="1041"/>
      <c r="K18" s="1041"/>
      <c r="L18" s="1041"/>
    </row>
    <row r="19" spans="1:12" s="1490" customFormat="1" ht="15" customHeight="1">
      <c r="A19" s="1489"/>
      <c r="B19" s="1489" t="s">
        <v>106</v>
      </c>
      <c r="C19" s="1656" t="s">
        <v>2724</v>
      </c>
      <c r="D19" s="1656"/>
      <c r="E19" s="1656"/>
      <c r="F19" s="1656"/>
      <c r="G19" s="1656"/>
      <c r="H19" s="1656"/>
      <c r="I19" s="1656"/>
      <c r="J19" s="1656"/>
      <c r="K19" s="1656"/>
      <c r="L19" s="1656"/>
    </row>
    <row r="20" spans="1:12" s="1490" customFormat="1" ht="6" customHeight="1">
      <c r="A20" s="1489"/>
      <c r="B20" s="1489"/>
      <c r="C20" s="1491"/>
      <c r="E20" s="1489"/>
      <c r="F20" s="1492"/>
      <c r="G20" s="1489"/>
      <c r="H20" s="1489"/>
      <c r="I20" s="1489"/>
    </row>
    <row r="21" spans="1:12" ht="53.1" customHeight="1">
      <c r="B21" s="207" t="s">
        <v>107</v>
      </c>
      <c r="C21" s="1656" t="s">
        <v>2211</v>
      </c>
      <c r="D21" s="1656"/>
      <c r="E21" s="1656"/>
      <c r="F21" s="1656"/>
      <c r="G21" s="1656"/>
      <c r="H21" s="1656"/>
      <c r="I21" s="1656"/>
      <c r="J21" s="1656"/>
      <c r="K21" s="1656"/>
      <c r="L21" s="1656"/>
    </row>
    <row r="22" spans="1:12" ht="6" customHeight="1">
      <c r="C22" s="1043"/>
      <c r="D22" s="1041"/>
      <c r="J22" s="1041"/>
      <c r="K22" s="1041"/>
      <c r="L22" s="1041"/>
    </row>
    <row r="23" spans="1:12" ht="26.1" customHeight="1">
      <c r="B23" s="207" t="s">
        <v>109</v>
      </c>
      <c r="C23" s="1961" t="s">
        <v>2430</v>
      </c>
      <c r="D23" s="1961"/>
      <c r="E23" s="1961"/>
      <c r="F23" s="1961"/>
      <c r="G23" s="1961"/>
      <c r="H23" s="1961"/>
      <c r="I23" s="1961"/>
      <c r="J23" s="1961"/>
      <c r="K23" s="1961"/>
      <c r="L23" s="1961"/>
    </row>
    <row r="24" spans="1:12" ht="6" customHeight="1">
      <c r="C24" s="1323"/>
      <c r="D24" s="1322"/>
      <c r="E24" s="1321"/>
      <c r="F24" s="1321"/>
      <c r="G24" s="1321"/>
      <c r="H24" s="1321"/>
      <c r="I24" s="1321"/>
      <c r="J24" s="1321"/>
      <c r="K24" s="1321"/>
      <c r="L24" s="1321"/>
    </row>
    <row r="25" spans="1:12" s="1044" customFormat="1" ht="15" customHeight="1">
      <c r="B25" s="1045" t="s">
        <v>42</v>
      </c>
      <c r="C25" s="1961" t="s">
        <v>2431</v>
      </c>
      <c r="D25" s="1961"/>
      <c r="E25" s="1961"/>
      <c r="F25" s="1961"/>
      <c r="G25" s="1961"/>
      <c r="H25" s="1961"/>
      <c r="I25" s="1961"/>
      <c r="J25" s="1961"/>
      <c r="K25" s="1961"/>
      <c r="L25" s="1961"/>
    </row>
    <row r="26" spans="1:12" ht="6" customHeight="1">
      <c r="C26" s="1323"/>
      <c r="D26" s="1322"/>
      <c r="E26" s="1321"/>
      <c r="F26" s="1321"/>
      <c r="G26" s="1321"/>
      <c r="H26" s="1321"/>
      <c r="I26" s="1321"/>
      <c r="J26" s="1321"/>
      <c r="K26" s="1321"/>
      <c r="L26" s="1321"/>
    </row>
    <row r="27" spans="1:12" ht="26.1" customHeight="1">
      <c r="B27" s="207" t="s">
        <v>110</v>
      </c>
      <c r="C27" s="1961" t="s">
        <v>2432</v>
      </c>
      <c r="D27" s="1961"/>
      <c r="E27" s="1961"/>
      <c r="F27" s="1961"/>
      <c r="G27" s="1961"/>
      <c r="H27" s="1961"/>
      <c r="I27" s="1961"/>
      <c r="J27" s="1961"/>
      <c r="K27" s="1961"/>
      <c r="L27" s="1961"/>
    </row>
    <row r="28" spans="1:12" ht="6" customHeight="1">
      <c r="C28" s="1323"/>
      <c r="D28" s="1322"/>
      <c r="E28" s="1321"/>
      <c r="F28" s="1321"/>
      <c r="G28" s="1321"/>
      <c r="H28" s="1321"/>
      <c r="I28" s="1321"/>
      <c r="J28" s="1321"/>
      <c r="K28" s="1321"/>
      <c r="L28" s="1321"/>
    </row>
    <row r="29" spans="1:12" s="1315" customFormat="1" ht="26.1" customHeight="1">
      <c r="B29" s="207" t="s">
        <v>111</v>
      </c>
      <c r="C29" s="1961" t="s">
        <v>2443</v>
      </c>
      <c r="D29" s="1961"/>
      <c r="E29" s="1961"/>
      <c r="F29" s="1961"/>
      <c r="G29" s="1961"/>
      <c r="H29" s="1961"/>
      <c r="I29" s="1961"/>
      <c r="J29" s="1961"/>
      <c r="K29" s="1961"/>
      <c r="L29" s="1961"/>
    </row>
    <row r="30" spans="1:12" s="1314" customFormat="1" ht="6" customHeight="1">
      <c r="A30" s="1316"/>
      <c r="B30" s="207"/>
      <c r="C30" s="1323"/>
      <c r="D30" s="1322"/>
      <c r="E30" s="1321"/>
      <c r="F30" s="1321"/>
      <c r="G30" s="1321"/>
      <c r="H30" s="1321"/>
      <c r="I30" s="1321"/>
      <c r="J30" s="1321"/>
      <c r="K30" s="1321"/>
      <c r="L30" s="1321"/>
    </row>
    <row r="31" spans="1:12" s="1044" customFormat="1" ht="26.1" customHeight="1">
      <c r="A31" s="1045"/>
      <c r="B31" s="207" t="s">
        <v>112</v>
      </c>
      <c r="C31" s="1961" t="s">
        <v>2436</v>
      </c>
      <c r="D31" s="1961"/>
      <c r="E31" s="1961"/>
      <c r="F31" s="1961"/>
      <c r="G31" s="1961"/>
      <c r="H31" s="1961"/>
      <c r="I31" s="1961"/>
      <c r="J31" s="1961"/>
      <c r="K31" s="1961"/>
      <c r="L31" s="1961"/>
    </row>
    <row r="32" spans="1:12" ht="6" customHeight="1">
      <c r="A32" s="207"/>
      <c r="B32" s="207"/>
      <c r="C32" s="1043"/>
      <c r="D32" s="1041"/>
    </row>
    <row r="33" spans="1:13" ht="26.1" customHeight="1">
      <c r="A33" s="207"/>
      <c r="B33" s="207" t="s">
        <v>185</v>
      </c>
      <c r="C33" s="1656" t="s">
        <v>2177</v>
      </c>
      <c r="D33" s="1656"/>
      <c r="E33" s="1656"/>
      <c r="F33" s="1656"/>
      <c r="G33" s="1656"/>
      <c r="H33" s="1656"/>
      <c r="I33" s="1656"/>
      <c r="J33" s="1656"/>
      <c r="K33" s="1656"/>
      <c r="L33" s="1656"/>
    </row>
    <row r="34" spans="1:13" ht="6" customHeight="1">
      <c r="A34" s="207"/>
      <c r="B34" s="207"/>
      <c r="C34" s="1043"/>
      <c r="D34" s="1041"/>
    </row>
    <row r="35" spans="1:13" ht="65.099999999999994" customHeight="1">
      <c r="B35" s="1656" t="s">
        <v>2209</v>
      </c>
      <c r="C35" s="1656"/>
      <c r="D35" s="1656"/>
      <c r="E35" s="1656"/>
      <c r="F35" s="1656"/>
      <c r="G35" s="1656"/>
      <c r="H35" s="1656"/>
      <c r="I35" s="1656"/>
      <c r="J35" s="1656"/>
      <c r="K35" s="1656"/>
      <c r="L35" s="1656"/>
    </row>
    <row r="36" spans="1:13" ht="21.95" customHeight="1">
      <c r="B36" s="1593" t="s">
        <v>2212</v>
      </c>
      <c r="C36" s="1593"/>
      <c r="D36" s="1593"/>
      <c r="E36" s="1593"/>
      <c r="F36" s="1593"/>
      <c r="G36" s="1593"/>
      <c r="H36" s="1593"/>
      <c r="I36" s="1593"/>
      <c r="J36" s="1593"/>
      <c r="K36" s="1593"/>
      <c r="L36" s="1593"/>
    </row>
    <row r="37" spans="1:13" ht="23.1" customHeight="1">
      <c r="B37" s="1593" t="s">
        <v>1497</v>
      </c>
      <c r="C37" s="1593"/>
      <c r="D37" s="1593"/>
      <c r="E37" s="1593"/>
      <c r="F37" s="1593"/>
      <c r="G37" s="1593"/>
      <c r="H37" s="1593"/>
      <c r="I37" s="1593"/>
      <c r="J37" s="1593"/>
      <c r="K37" s="1593"/>
      <c r="L37" s="1593"/>
    </row>
    <row r="38" spans="1:13" ht="24.95" customHeight="1" thickBot="1">
      <c r="B38" s="1052" t="s">
        <v>182</v>
      </c>
      <c r="C38" s="1052"/>
      <c r="E38" s="2143" t="str">
        <f>IF('FORM 1040-1'!D32="","",('FORM 1040-1'!D32))</f>
        <v/>
      </c>
      <c r="F38" s="2143"/>
      <c r="G38" s="2143"/>
      <c r="H38" s="1049"/>
      <c r="I38" s="1045" t="s">
        <v>24</v>
      </c>
      <c r="J38" s="1749"/>
      <c r="K38" s="1749"/>
      <c r="L38" s="1749"/>
    </row>
    <row r="39" spans="1:13" ht="15" customHeight="1" thickTop="1">
      <c r="B39" s="1052"/>
      <c r="C39" s="1052"/>
      <c r="E39" s="2245" t="s">
        <v>2206</v>
      </c>
      <c r="F39" s="2245"/>
      <c r="G39" s="2245"/>
      <c r="H39" s="40"/>
      <c r="I39" s="40"/>
      <c r="J39" s="2245" t="s">
        <v>2207</v>
      </c>
      <c r="K39" s="2245"/>
      <c r="L39" s="2245"/>
    </row>
    <row r="40" spans="1:13" ht="20.100000000000001" customHeight="1" thickBot="1">
      <c r="B40" s="1593" t="s">
        <v>183</v>
      </c>
      <c r="C40" s="1593"/>
      <c r="D40" s="1593"/>
      <c r="E40" s="1605"/>
      <c r="F40" s="1605"/>
      <c r="G40" s="1605"/>
      <c r="I40" s="1593" t="s">
        <v>184</v>
      </c>
      <c r="J40" s="1593"/>
      <c r="K40" s="1605"/>
      <c r="L40" s="1605"/>
    </row>
    <row r="41" spans="1:13" s="40" customFormat="1" ht="6" customHeight="1" thickTop="1"/>
    <row r="42" spans="1:13" ht="20.100000000000001" customHeight="1" thickBot="1">
      <c r="B42" s="1593" t="s">
        <v>25</v>
      </c>
      <c r="C42" s="1593"/>
      <c r="D42" s="1593"/>
      <c r="E42" s="1605"/>
      <c r="F42" s="1605"/>
      <c r="G42" s="1605"/>
      <c r="H42" s="1041"/>
      <c r="I42" s="1593" t="s">
        <v>26</v>
      </c>
      <c r="J42" s="1593"/>
      <c r="K42" s="1605"/>
      <c r="L42" s="1605"/>
    </row>
    <row r="43" spans="1:13" ht="20.100000000000001" customHeight="1" thickTop="1">
      <c r="B43" s="1593" t="s">
        <v>27</v>
      </c>
      <c r="C43" s="1593"/>
      <c r="D43" s="1593"/>
      <c r="G43" s="1041"/>
      <c r="H43" s="1041"/>
      <c r="I43" s="1041"/>
      <c r="J43" s="1041"/>
      <c r="K43" s="1041"/>
      <c r="L43" s="1041"/>
    </row>
    <row r="44" spans="1:13" ht="23.1" customHeight="1">
      <c r="B44" s="1593" t="s">
        <v>1498</v>
      </c>
      <c r="C44" s="1593"/>
      <c r="D44" s="1593"/>
      <c r="E44" s="1593"/>
      <c r="F44" s="1593"/>
      <c r="G44" s="1593"/>
      <c r="H44" s="1593"/>
      <c r="I44" s="1593"/>
      <c r="J44" s="1593"/>
      <c r="K44" s="1593"/>
      <c r="L44" s="1593"/>
    </row>
    <row r="45" spans="1:13" ht="35.1" customHeight="1" thickBot="1">
      <c r="B45" s="1044" t="s">
        <v>287</v>
      </c>
      <c r="C45" s="1044"/>
      <c r="D45" s="1044"/>
      <c r="E45" s="1044"/>
      <c r="F45" s="2246"/>
      <c r="G45" s="2246"/>
      <c r="H45" s="1061"/>
      <c r="I45" s="1045" t="s">
        <v>288</v>
      </c>
      <c r="J45" s="1061"/>
      <c r="K45" s="1749"/>
      <c r="L45" s="1749"/>
      <c r="M45" s="1039"/>
    </row>
    <row r="46" spans="1:13" s="1039" customFormat="1" ht="20.100000000000001" customHeight="1" thickTop="1">
      <c r="A46" s="1052"/>
      <c r="B46" s="1052"/>
      <c r="C46" s="1052"/>
      <c r="D46" s="1052"/>
      <c r="E46" s="1596"/>
      <c r="F46" s="1596"/>
      <c r="G46" s="1596"/>
      <c r="H46" s="475"/>
      <c r="I46" s="475"/>
      <c r="J46" s="475"/>
      <c r="K46" s="476" t="s">
        <v>289</v>
      </c>
      <c r="L46" s="476"/>
      <c r="M46" s="477"/>
    </row>
    <row r="47" spans="1:13" ht="15" customHeight="1">
      <c r="E47" s="477"/>
      <c r="F47" s="477"/>
      <c r="G47" s="477"/>
      <c r="H47" s="1041"/>
      <c r="I47" s="1041"/>
      <c r="J47" s="1041"/>
      <c r="K47" s="1041"/>
      <c r="L47" s="1041"/>
    </row>
    <row r="48" spans="1:13" ht="20.100000000000001" customHeight="1">
      <c r="G48" s="1041"/>
      <c r="H48" s="1041"/>
      <c r="I48" s="1041"/>
      <c r="J48" s="1041"/>
      <c r="K48" s="1041"/>
      <c r="L48" s="1041"/>
    </row>
    <row r="49" spans="7:12" ht="20.100000000000001" customHeight="1">
      <c r="G49" s="1041"/>
      <c r="H49" s="1041"/>
      <c r="I49" s="1041"/>
      <c r="J49" s="1041"/>
      <c r="K49" s="1041"/>
      <c r="L49" s="1041"/>
    </row>
    <row r="50" spans="7:12" ht="20.100000000000001" customHeight="1">
      <c r="G50" s="1041"/>
      <c r="H50" s="1041"/>
      <c r="I50" s="1041"/>
      <c r="J50" s="1041"/>
      <c r="K50" s="1041"/>
      <c r="L50" s="1041"/>
    </row>
    <row r="51" spans="7:12" ht="15" customHeight="1">
      <c r="G51" s="1041"/>
      <c r="H51" s="1041"/>
      <c r="I51" s="1041"/>
      <c r="J51" s="1041"/>
      <c r="K51" s="1041"/>
      <c r="L51" s="1041"/>
    </row>
    <row r="52" spans="7:12">
      <c r="G52" s="1041"/>
      <c r="H52" s="1041"/>
      <c r="I52" s="1041"/>
      <c r="J52" s="1041"/>
      <c r="K52" s="1041"/>
      <c r="L52" s="1041"/>
    </row>
    <row r="53" spans="7:12">
      <c r="G53" s="1041"/>
      <c r="H53" s="1041"/>
      <c r="I53" s="1041"/>
      <c r="J53" s="1041"/>
      <c r="K53" s="1041"/>
      <c r="L53" s="1041"/>
    </row>
    <row r="54" spans="7:12">
      <c r="G54" s="1041"/>
      <c r="H54" s="1041"/>
      <c r="I54" s="1041"/>
      <c r="J54" s="1041"/>
      <c r="K54" s="1041"/>
      <c r="L54" s="1041"/>
    </row>
    <row r="55" spans="7:12">
      <c r="G55" s="1041"/>
      <c r="H55" s="1041"/>
      <c r="I55" s="1041"/>
      <c r="J55" s="1041"/>
      <c r="K55" s="1041"/>
      <c r="L55" s="1041"/>
    </row>
    <row r="56" spans="7:12">
      <c r="G56" s="1041"/>
      <c r="H56" s="1041"/>
      <c r="I56" s="1041"/>
      <c r="J56" s="1041"/>
      <c r="K56" s="1041"/>
      <c r="L56" s="1041"/>
    </row>
    <row r="57" spans="7:12">
      <c r="G57" s="1041"/>
      <c r="H57" s="1041"/>
      <c r="I57" s="1041"/>
      <c r="J57" s="1041"/>
      <c r="K57" s="1041"/>
      <c r="L57" s="1041"/>
    </row>
    <row r="58" spans="7:12">
      <c r="G58" s="1041"/>
      <c r="H58" s="1041"/>
      <c r="I58" s="1041"/>
      <c r="J58" s="1041"/>
      <c r="K58" s="1041"/>
      <c r="L58" s="1041"/>
    </row>
    <row r="59" spans="7:12">
      <c r="G59" s="1041"/>
      <c r="H59" s="1041"/>
      <c r="I59" s="1041"/>
      <c r="J59" s="1041"/>
      <c r="K59" s="1041"/>
      <c r="L59" s="1041"/>
    </row>
    <row r="60" spans="7:12">
      <c r="G60" s="1041"/>
      <c r="H60" s="1041"/>
      <c r="I60" s="1041"/>
      <c r="J60" s="1041"/>
      <c r="K60" s="1041"/>
      <c r="L60" s="1041"/>
    </row>
    <row r="61" spans="7:12">
      <c r="G61" s="1041"/>
      <c r="H61" s="1041"/>
      <c r="I61" s="1041"/>
      <c r="J61" s="1041"/>
      <c r="K61" s="1041"/>
      <c r="L61" s="1041"/>
    </row>
    <row r="62" spans="7:12">
      <c r="G62" s="1041"/>
      <c r="H62" s="1041"/>
      <c r="I62" s="1041"/>
      <c r="J62" s="1041"/>
      <c r="K62" s="1041"/>
      <c r="L62" s="1041"/>
    </row>
    <row r="63" spans="7:12">
      <c r="G63" s="1041"/>
      <c r="H63" s="1041"/>
      <c r="I63" s="1041"/>
      <c r="J63" s="1041"/>
      <c r="K63" s="1041"/>
      <c r="L63" s="1041"/>
    </row>
    <row r="64" spans="7:12">
      <c r="G64" s="1041"/>
      <c r="H64" s="1041"/>
      <c r="I64" s="1041"/>
      <c r="J64" s="1041"/>
      <c r="K64" s="1041"/>
      <c r="L64" s="1041"/>
    </row>
    <row r="65" spans="7:12">
      <c r="G65" s="1041"/>
      <c r="H65" s="1041"/>
      <c r="I65" s="1041"/>
      <c r="J65" s="1041"/>
      <c r="K65" s="1041"/>
      <c r="L65" s="1041"/>
    </row>
    <row r="66" spans="7:12">
      <c r="G66" s="1041"/>
      <c r="H66" s="1041"/>
      <c r="I66" s="1041"/>
      <c r="J66" s="1041"/>
      <c r="K66" s="1041"/>
      <c r="L66" s="1041"/>
    </row>
    <row r="67" spans="7:12">
      <c r="G67" s="1041"/>
      <c r="H67" s="1041"/>
      <c r="I67" s="1041"/>
      <c r="J67" s="1041"/>
      <c r="K67" s="1041"/>
      <c r="L67" s="1041"/>
    </row>
    <row r="68" spans="7:12">
      <c r="G68" s="1041"/>
      <c r="H68" s="1041"/>
      <c r="I68" s="1041"/>
      <c r="J68" s="1041"/>
      <c r="K68" s="1041"/>
      <c r="L68" s="1041"/>
    </row>
    <row r="69" spans="7:12">
      <c r="G69" s="1041"/>
      <c r="H69" s="1041"/>
      <c r="I69" s="1041"/>
      <c r="J69" s="1041"/>
      <c r="K69" s="1041"/>
      <c r="L69" s="1041"/>
    </row>
    <row r="70" spans="7:12">
      <c r="G70" s="1041"/>
      <c r="H70" s="1041"/>
      <c r="I70" s="1041"/>
      <c r="J70" s="1041"/>
      <c r="K70" s="1041"/>
      <c r="L70" s="1041"/>
    </row>
    <row r="71" spans="7:12">
      <c r="G71" s="1041"/>
      <c r="H71" s="1041"/>
      <c r="I71" s="1041"/>
      <c r="J71" s="1041"/>
      <c r="K71" s="1041"/>
      <c r="L71" s="1041"/>
    </row>
    <row r="72" spans="7:12">
      <c r="G72" s="1041"/>
      <c r="H72" s="1041"/>
      <c r="I72" s="1041"/>
      <c r="J72" s="1041"/>
      <c r="K72" s="1041"/>
      <c r="L72" s="1041"/>
    </row>
    <row r="73" spans="7:12">
      <c r="G73" s="1041"/>
      <c r="H73" s="1041"/>
      <c r="I73" s="1041"/>
      <c r="J73" s="1041"/>
      <c r="K73" s="1041"/>
      <c r="L73" s="1041"/>
    </row>
    <row r="74" spans="7:12">
      <c r="G74" s="1041"/>
      <c r="H74" s="1041"/>
      <c r="I74" s="1041"/>
      <c r="J74" s="1041"/>
      <c r="K74" s="1041"/>
      <c r="L74" s="1041"/>
    </row>
    <row r="75" spans="7:12">
      <c r="G75" s="1041"/>
      <c r="H75" s="1041"/>
      <c r="I75" s="1041"/>
      <c r="J75" s="1041"/>
      <c r="K75" s="1041"/>
      <c r="L75" s="1041"/>
    </row>
    <row r="76" spans="7:12">
      <c r="G76" s="1041"/>
      <c r="H76" s="1041"/>
      <c r="I76" s="1041"/>
      <c r="J76" s="1041"/>
      <c r="K76" s="1041"/>
      <c r="L76" s="1041"/>
    </row>
    <row r="77" spans="7:12">
      <c r="G77" s="1041"/>
      <c r="H77" s="1041"/>
      <c r="I77" s="1041"/>
      <c r="J77" s="1041"/>
      <c r="K77" s="1041"/>
      <c r="L77" s="1041"/>
    </row>
    <row r="78" spans="7:12">
      <c r="G78" s="1041"/>
      <c r="H78" s="1041"/>
      <c r="I78" s="1041"/>
      <c r="J78" s="1041"/>
      <c r="K78" s="1041"/>
      <c r="L78" s="1041"/>
    </row>
    <row r="79" spans="7:12">
      <c r="G79" s="1041"/>
      <c r="H79" s="1041"/>
      <c r="I79" s="1041"/>
      <c r="J79" s="1041"/>
      <c r="K79" s="1041"/>
      <c r="L79" s="1041"/>
    </row>
    <row r="80" spans="7:12">
      <c r="G80" s="1041"/>
      <c r="H80" s="1041"/>
      <c r="I80" s="1041"/>
      <c r="J80" s="1041"/>
      <c r="K80" s="1041"/>
      <c r="L80" s="1041"/>
    </row>
    <row r="81" spans="7:12">
      <c r="G81" s="1041"/>
      <c r="H81" s="1041"/>
      <c r="I81" s="1041"/>
      <c r="J81" s="1041"/>
      <c r="K81" s="1041"/>
      <c r="L81" s="1041"/>
    </row>
    <row r="82" spans="7:12">
      <c r="G82" s="1041"/>
      <c r="H82" s="1041"/>
      <c r="I82" s="1041"/>
      <c r="J82" s="1041"/>
      <c r="K82" s="1041"/>
      <c r="L82" s="1041"/>
    </row>
    <row r="83" spans="7:12">
      <c r="G83" s="1041"/>
      <c r="H83" s="1041"/>
      <c r="I83" s="1041"/>
      <c r="J83" s="1041"/>
      <c r="K83" s="1041"/>
      <c r="L83" s="1041"/>
    </row>
    <row r="84" spans="7:12">
      <c r="G84" s="1041"/>
      <c r="H84" s="1041"/>
      <c r="I84" s="1041"/>
      <c r="J84" s="1041"/>
      <c r="K84" s="1041"/>
      <c r="L84" s="1041"/>
    </row>
    <row r="85" spans="7:12">
      <c r="G85" s="1041"/>
      <c r="H85" s="1041"/>
      <c r="I85" s="1041"/>
      <c r="J85" s="1041"/>
      <c r="K85" s="1041"/>
      <c r="L85" s="1041"/>
    </row>
    <row r="86" spans="7:12">
      <c r="G86" s="1041"/>
      <c r="H86" s="1041"/>
      <c r="I86" s="1041"/>
      <c r="J86" s="1041"/>
      <c r="K86" s="1041"/>
      <c r="L86" s="1041"/>
    </row>
    <row r="87" spans="7:12">
      <c r="G87" s="1041"/>
      <c r="H87" s="1041"/>
      <c r="I87" s="1041"/>
      <c r="J87" s="1041"/>
      <c r="K87" s="1041"/>
      <c r="L87" s="1041"/>
    </row>
    <row r="88" spans="7:12">
      <c r="G88" s="1041"/>
      <c r="H88" s="1041"/>
      <c r="I88" s="1041"/>
      <c r="J88" s="1041"/>
      <c r="K88" s="1041"/>
      <c r="L88" s="1041"/>
    </row>
    <row r="89" spans="7:12">
      <c r="G89" s="1041"/>
      <c r="H89" s="1041"/>
      <c r="I89" s="1041"/>
      <c r="J89" s="1041"/>
      <c r="K89" s="1041"/>
      <c r="L89" s="1041"/>
    </row>
    <row r="90" spans="7:12">
      <c r="G90" s="1041"/>
      <c r="H90" s="1041"/>
      <c r="I90" s="1041"/>
      <c r="J90" s="1041"/>
      <c r="K90" s="1041"/>
      <c r="L90" s="1041"/>
    </row>
    <row r="91" spans="7:12">
      <c r="G91" s="1041"/>
      <c r="H91" s="1041"/>
      <c r="I91" s="1041"/>
      <c r="J91" s="1041"/>
      <c r="K91" s="1041"/>
      <c r="L91" s="1041"/>
    </row>
    <row r="92" spans="7:12">
      <c r="G92" s="1041"/>
      <c r="H92" s="1041"/>
      <c r="I92" s="1041"/>
      <c r="J92" s="1041"/>
      <c r="K92" s="1041"/>
      <c r="L92" s="1041"/>
    </row>
    <row r="93" spans="7:12">
      <c r="G93" s="1041"/>
      <c r="H93" s="1041"/>
      <c r="I93" s="1041"/>
      <c r="J93" s="1041"/>
      <c r="K93" s="1041"/>
      <c r="L93" s="1041"/>
    </row>
    <row r="94" spans="7:12">
      <c r="G94" s="1041"/>
      <c r="H94" s="1041"/>
      <c r="I94" s="1041"/>
      <c r="J94" s="1041"/>
      <c r="K94" s="1041"/>
      <c r="L94" s="1041"/>
    </row>
    <row r="95" spans="7:12">
      <c r="G95" s="1041"/>
      <c r="H95" s="1041"/>
      <c r="I95" s="1041"/>
      <c r="J95" s="1041"/>
      <c r="K95" s="1041"/>
      <c r="L95" s="1041"/>
    </row>
    <row r="96" spans="7:12">
      <c r="G96" s="1041"/>
      <c r="H96" s="1041"/>
      <c r="I96" s="1041"/>
      <c r="J96" s="1041"/>
      <c r="K96" s="1041"/>
      <c r="L96" s="1041"/>
    </row>
    <row r="97" spans="7:12">
      <c r="G97" s="1041"/>
      <c r="H97" s="1041"/>
      <c r="I97" s="1041"/>
      <c r="J97" s="1041"/>
      <c r="K97" s="1041"/>
      <c r="L97" s="1041"/>
    </row>
    <row r="98" spans="7:12">
      <c r="G98" s="1041"/>
      <c r="H98" s="1041"/>
      <c r="I98" s="1041"/>
      <c r="J98" s="1041"/>
      <c r="K98" s="1041"/>
      <c r="L98" s="1041"/>
    </row>
    <row r="99" spans="7:12">
      <c r="G99" s="1041"/>
      <c r="H99" s="1041"/>
      <c r="I99" s="1041"/>
      <c r="J99" s="1041"/>
      <c r="K99" s="1041"/>
      <c r="L99" s="1041"/>
    </row>
    <row r="100" spans="7:12">
      <c r="G100" s="1041"/>
      <c r="H100" s="1041"/>
      <c r="I100" s="1041"/>
      <c r="J100" s="1041"/>
      <c r="K100" s="1041"/>
      <c r="L100" s="1041"/>
    </row>
    <row r="101" spans="7:12">
      <c r="G101" s="1041"/>
      <c r="H101" s="1041"/>
      <c r="I101" s="1041"/>
      <c r="J101" s="1041"/>
      <c r="K101" s="1041"/>
      <c r="L101" s="1041"/>
    </row>
    <row r="102" spans="7:12">
      <c r="G102" s="1041"/>
      <c r="H102" s="1041"/>
      <c r="I102" s="1041"/>
      <c r="J102" s="1041"/>
      <c r="K102" s="1041"/>
      <c r="L102" s="1041"/>
    </row>
    <row r="103" spans="7:12">
      <c r="G103" s="1041"/>
      <c r="H103" s="1041"/>
      <c r="I103" s="1041"/>
      <c r="J103" s="1041"/>
      <c r="K103" s="1041"/>
      <c r="L103" s="1041"/>
    </row>
    <row r="104" spans="7:12">
      <c r="G104" s="1041"/>
      <c r="H104" s="1041"/>
      <c r="I104" s="1041"/>
      <c r="J104" s="1041"/>
      <c r="K104" s="1041"/>
      <c r="L104" s="1041"/>
    </row>
    <row r="105" spans="7:12">
      <c r="G105" s="1041"/>
      <c r="H105" s="1041"/>
      <c r="I105" s="1041"/>
      <c r="J105" s="1041"/>
      <c r="K105" s="1041"/>
      <c r="L105" s="1041"/>
    </row>
    <row r="106" spans="7:12">
      <c r="G106" s="1041"/>
      <c r="H106" s="1041"/>
      <c r="I106" s="1041"/>
      <c r="J106" s="1041"/>
      <c r="K106" s="1041"/>
      <c r="L106" s="1041"/>
    </row>
    <row r="107" spans="7:12">
      <c r="G107" s="1041"/>
      <c r="H107" s="1041"/>
      <c r="I107" s="1041"/>
      <c r="J107" s="1041"/>
      <c r="K107" s="1041"/>
      <c r="L107" s="1041"/>
    </row>
    <row r="108" spans="7:12">
      <c r="G108" s="1041"/>
      <c r="H108" s="1041"/>
      <c r="I108" s="1041"/>
      <c r="J108" s="1041"/>
      <c r="K108" s="1041"/>
      <c r="L108" s="1041"/>
    </row>
    <row r="109" spans="7:12">
      <c r="G109" s="1041"/>
      <c r="H109" s="1041"/>
      <c r="I109" s="1041"/>
      <c r="J109" s="1041"/>
      <c r="K109" s="1041"/>
      <c r="L109" s="1041"/>
    </row>
    <row r="110" spans="7:12">
      <c r="G110" s="1041"/>
      <c r="H110" s="1041"/>
      <c r="I110" s="1041"/>
      <c r="J110" s="1041"/>
      <c r="K110" s="1041"/>
      <c r="L110" s="1041"/>
    </row>
    <row r="111" spans="7:12">
      <c r="G111" s="1041"/>
      <c r="H111" s="1041"/>
      <c r="I111" s="1041"/>
      <c r="J111" s="1041"/>
      <c r="K111" s="1041"/>
      <c r="L111" s="1041"/>
    </row>
    <row r="112" spans="7:12">
      <c r="G112" s="1041"/>
      <c r="H112" s="1041"/>
      <c r="I112" s="1041"/>
      <c r="J112" s="1041"/>
      <c r="K112" s="1041"/>
      <c r="L112" s="1041"/>
    </row>
    <row r="113" spans="7:12">
      <c r="G113" s="1041"/>
      <c r="H113" s="1041"/>
      <c r="I113" s="1041"/>
      <c r="J113" s="1041"/>
      <c r="K113" s="1041"/>
      <c r="L113" s="1041"/>
    </row>
    <row r="114" spans="7:12">
      <c r="G114" s="1041"/>
      <c r="H114" s="1041"/>
      <c r="I114" s="1041"/>
      <c r="J114" s="1041"/>
      <c r="K114" s="1041"/>
      <c r="L114" s="1041"/>
    </row>
    <row r="115" spans="7:12">
      <c r="G115" s="1041"/>
      <c r="H115" s="1041"/>
      <c r="I115" s="1041"/>
      <c r="J115" s="1041"/>
      <c r="K115" s="1041"/>
      <c r="L115" s="1041"/>
    </row>
    <row r="116" spans="7:12">
      <c r="G116" s="1041"/>
      <c r="H116" s="1041"/>
      <c r="I116" s="1041"/>
      <c r="J116" s="1041"/>
      <c r="K116" s="1041"/>
      <c r="L116" s="1041"/>
    </row>
    <row r="117" spans="7:12">
      <c r="G117" s="1041"/>
      <c r="H117" s="1041"/>
      <c r="I117" s="1041"/>
      <c r="J117" s="1041"/>
      <c r="K117" s="1041"/>
      <c r="L117" s="1041"/>
    </row>
    <row r="118" spans="7:12">
      <c r="G118" s="1041"/>
      <c r="H118" s="1041"/>
      <c r="I118" s="1041"/>
      <c r="J118" s="1041"/>
      <c r="K118" s="1041"/>
      <c r="L118" s="1041"/>
    </row>
    <row r="119" spans="7:12">
      <c r="G119" s="1041"/>
      <c r="H119" s="1041"/>
      <c r="I119" s="1041"/>
      <c r="J119" s="1041"/>
      <c r="K119" s="1041"/>
      <c r="L119" s="1041"/>
    </row>
    <row r="120" spans="7:12">
      <c r="G120" s="1041"/>
      <c r="H120" s="1041"/>
      <c r="I120" s="1041"/>
      <c r="J120" s="1041"/>
      <c r="K120" s="1041"/>
      <c r="L120" s="1041"/>
    </row>
    <row r="121" spans="7:12">
      <c r="G121" s="1041"/>
      <c r="H121" s="1041"/>
      <c r="I121" s="1041"/>
      <c r="J121" s="1041"/>
      <c r="K121" s="1041"/>
      <c r="L121" s="1041"/>
    </row>
    <row r="122" spans="7:12">
      <c r="G122" s="1041"/>
      <c r="H122" s="1041"/>
      <c r="I122" s="1041"/>
      <c r="J122" s="1041"/>
      <c r="K122" s="1041"/>
      <c r="L122" s="1041"/>
    </row>
    <row r="123" spans="7:12">
      <c r="G123" s="1041"/>
      <c r="H123" s="1041"/>
      <c r="I123" s="1041"/>
      <c r="J123" s="1041"/>
      <c r="K123" s="1041"/>
      <c r="L123" s="1041"/>
    </row>
    <row r="124" spans="7:12">
      <c r="G124" s="1041"/>
      <c r="H124" s="1041"/>
      <c r="I124" s="1041"/>
      <c r="J124" s="1041"/>
      <c r="K124" s="1041"/>
      <c r="L124" s="1041"/>
    </row>
    <row r="125" spans="7:12">
      <c r="G125" s="1041"/>
      <c r="H125" s="1041"/>
      <c r="I125" s="1041"/>
      <c r="J125" s="1041"/>
      <c r="K125" s="1041"/>
      <c r="L125" s="1041"/>
    </row>
    <row r="126" spans="7:12">
      <c r="G126" s="1041"/>
      <c r="H126" s="1041"/>
      <c r="I126" s="1041"/>
      <c r="J126" s="1041"/>
      <c r="K126" s="1041"/>
      <c r="L126" s="1041"/>
    </row>
    <row r="127" spans="7:12">
      <c r="G127" s="1041"/>
      <c r="H127" s="1041"/>
      <c r="I127" s="1041"/>
      <c r="J127" s="1041"/>
      <c r="K127" s="1041"/>
      <c r="L127" s="1041"/>
    </row>
    <row r="128" spans="7:12">
      <c r="G128" s="1041"/>
      <c r="H128" s="1041"/>
      <c r="I128" s="1041"/>
      <c r="J128" s="1041"/>
      <c r="K128" s="1041"/>
      <c r="L128" s="1041"/>
    </row>
    <row r="129" spans="7:12">
      <c r="G129" s="1041"/>
      <c r="H129" s="1041"/>
      <c r="I129" s="1041"/>
      <c r="J129" s="1041"/>
      <c r="K129" s="1041"/>
      <c r="L129" s="1041"/>
    </row>
    <row r="130" spans="7:12">
      <c r="G130" s="1041"/>
      <c r="H130" s="1041"/>
      <c r="I130" s="1041"/>
      <c r="J130" s="1041"/>
      <c r="K130" s="1041"/>
      <c r="L130" s="1041"/>
    </row>
    <row r="131" spans="7:12">
      <c r="G131" s="1041"/>
      <c r="H131" s="1041"/>
      <c r="I131" s="1041"/>
      <c r="J131" s="1041"/>
      <c r="K131" s="1041"/>
      <c r="L131" s="1041"/>
    </row>
    <row r="132" spans="7:12">
      <c r="G132" s="1041"/>
      <c r="H132" s="1041"/>
      <c r="I132" s="1041"/>
      <c r="J132" s="1041"/>
      <c r="K132" s="1041"/>
      <c r="L132" s="1041"/>
    </row>
    <row r="133" spans="7:12">
      <c r="G133" s="1041"/>
      <c r="H133" s="1041"/>
      <c r="I133" s="1041"/>
      <c r="J133" s="1041"/>
      <c r="K133" s="1041"/>
      <c r="L133" s="1041"/>
    </row>
    <row r="134" spans="7:12">
      <c r="G134" s="1041"/>
      <c r="H134" s="1041"/>
      <c r="I134" s="1041"/>
      <c r="J134" s="1041"/>
      <c r="K134" s="1041"/>
      <c r="L134" s="1041"/>
    </row>
    <row r="135" spans="7:12">
      <c r="G135" s="1041"/>
      <c r="H135" s="1041"/>
      <c r="I135" s="1041"/>
      <c r="J135" s="1041"/>
      <c r="K135" s="1041"/>
      <c r="L135" s="1041"/>
    </row>
    <row r="136" spans="7:12">
      <c r="G136" s="1041"/>
      <c r="H136" s="1041"/>
      <c r="I136" s="1041"/>
      <c r="J136" s="1041"/>
      <c r="K136" s="1041"/>
      <c r="L136" s="1041"/>
    </row>
    <row r="137" spans="7:12">
      <c r="G137" s="1041"/>
      <c r="H137" s="1041"/>
      <c r="I137" s="1041"/>
      <c r="J137" s="1041"/>
      <c r="K137" s="1041"/>
      <c r="L137" s="1041"/>
    </row>
    <row r="138" spans="7:12">
      <c r="G138" s="1041"/>
      <c r="H138" s="1041"/>
      <c r="I138" s="1041"/>
      <c r="J138" s="1041"/>
      <c r="K138" s="1041"/>
      <c r="L138" s="1041"/>
    </row>
    <row r="139" spans="7:12">
      <c r="G139" s="1041"/>
      <c r="H139" s="1041"/>
      <c r="I139" s="1041"/>
      <c r="J139" s="1041"/>
      <c r="K139" s="1041"/>
      <c r="L139" s="1041"/>
    </row>
    <row r="140" spans="7:12">
      <c r="G140" s="1041"/>
      <c r="H140" s="1041"/>
      <c r="I140" s="1041"/>
      <c r="J140" s="1041"/>
      <c r="K140" s="1041"/>
      <c r="L140" s="1041"/>
    </row>
    <row r="141" spans="7:12">
      <c r="G141" s="1041"/>
      <c r="H141" s="1041"/>
      <c r="I141" s="1041"/>
      <c r="J141" s="1041"/>
      <c r="K141" s="1041"/>
      <c r="L141" s="1041"/>
    </row>
    <row r="142" spans="7:12">
      <c r="G142" s="1041"/>
      <c r="H142" s="1041"/>
      <c r="I142" s="1041"/>
      <c r="J142" s="1041"/>
      <c r="K142" s="1041"/>
      <c r="L142" s="1041"/>
    </row>
    <row r="143" spans="7:12">
      <c r="G143" s="1041"/>
      <c r="H143" s="1041"/>
      <c r="I143" s="1041"/>
      <c r="J143" s="1041"/>
      <c r="K143" s="1041"/>
      <c r="L143" s="1041"/>
    </row>
    <row r="144" spans="7:12">
      <c r="G144" s="1041"/>
      <c r="H144" s="1041"/>
      <c r="I144" s="1041"/>
      <c r="J144" s="1041"/>
      <c r="K144" s="1041"/>
      <c r="L144" s="1041"/>
    </row>
    <row r="145" spans="7:12">
      <c r="G145" s="1041"/>
      <c r="H145" s="1041"/>
      <c r="I145" s="1041"/>
      <c r="J145" s="1041"/>
      <c r="K145" s="1041"/>
      <c r="L145" s="1041"/>
    </row>
    <row r="146" spans="7:12">
      <c r="G146" s="1041"/>
      <c r="H146" s="1041"/>
      <c r="I146" s="1041"/>
      <c r="J146" s="1041"/>
      <c r="K146" s="1041"/>
      <c r="L146" s="1041"/>
    </row>
    <row r="147" spans="7:12">
      <c r="G147" s="1041"/>
      <c r="H147" s="1041"/>
      <c r="I147" s="1041"/>
      <c r="J147" s="1041"/>
      <c r="K147" s="1041"/>
      <c r="L147" s="1041"/>
    </row>
    <row r="148" spans="7:12">
      <c r="G148" s="1041"/>
      <c r="H148" s="1041"/>
      <c r="I148" s="1041"/>
      <c r="J148" s="1041"/>
      <c r="K148" s="1041"/>
      <c r="L148" s="1041"/>
    </row>
    <row r="149" spans="7:12">
      <c r="G149" s="1041"/>
      <c r="H149" s="1041"/>
      <c r="I149" s="1041"/>
      <c r="J149" s="1041"/>
      <c r="K149" s="1041"/>
      <c r="L149" s="1041"/>
    </row>
    <row r="150" spans="7:12">
      <c r="G150" s="1041"/>
      <c r="H150" s="1041"/>
      <c r="I150" s="1041"/>
      <c r="J150" s="1041"/>
      <c r="K150" s="1041"/>
      <c r="L150" s="1041"/>
    </row>
    <row r="151" spans="7:12">
      <c r="G151" s="1041"/>
      <c r="H151" s="1041"/>
      <c r="I151" s="1041"/>
      <c r="J151" s="1041"/>
      <c r="K151" s="1041"/>
      <c r="L151" s="1041"/>
    </row>
    <row r="152" spans="7:12">
      <c r="G152" s="1041"/>
      <c r="H152" s="1041"/>
      <c r="I152" s="1041"/>
      <c r="J152" s="1041"/>
      <c r="K152" s="1041"/>
      <c r="L152" s="1041"/>
    </row>
    <row r="153" spans="7:12">
      <c r="G153" s="1041"/>
      <c r="H153" s="1041"/>
      <c r="I153" s="1041"/>
      <c r="J153" s="1041"/>
      <c r="K153" s="1041"/>
      <c r="L153" s="1041"/>
    </row>
    <row r="154" spans="7:12">
      <c r="G154" s="1041"/>
      <c r="H154" s="1041"/>
      <c r="I154" s="1041"/>
      <c r="J154" s="1041"/>
      <c r="K154" s="1041"/>
      <c r="L154" s="1041"/>
    </row>
    <row r="155" spans="7:12">
      <c r="G155" s="1041"/>
      <c r="H155" s="1041"/>
      <c r="I155" s="1041"/>
      <c r="J155" s="1041"/>
      <c r="K155" s="1041"/>
      <c r="L155" s="1041"/>
    </row>
    <row r="156" spans="7:12">
      <c r="G156" s="1041"/>
      <c r="H156" s="1041"/>
      <c r="I156" s="1041"/>
      <c r="J156" s="1041"/>
      <c r="K156" s="1041"/>
      <c r="L156" s="1041"/>
    </row>
    <row r="157" spans="7:12">
      <c r="G157" s="1041"/>
      <c r="H157" s="1041"/>
      <c r="I157" s="1041"/>
      <c r="J157" s="1041"/>
      <c r="K157" s="1041"/>
      <c r="L157" s="1041"/>
    </row>
    <row r="158" spans="7:12">
      <c r="G158" s="1041"/>
      <c r="H158" s="1041"/>
      <c r="I158" s="1041"/>
      <c r="J158" s="1041"/>
      <c r="K158" s="1041"/>
      <c r="L158" s="1041"/>
    </row>
    <row r="159" spans="7:12">
      <c r="G159" s="1041"/>
      <c r="H159" s="1041"/>
      <c r="I159" s="1041"/>
      <c r="J159" s="1041"/>
      <c r="K159" s="1041"/>
      <c r="L159" s="1041"/>
    </row>
    <row r="160" spans="7:12">
      <c r="G160" s="1041"/>
      <c r="H160" s="1041"/>
      <c r="I160" s="1041"/>
      <c r="J160" s="1041"/>
      <c r="K160" s="1041"/>
      <c r="L160" s="1041"/>
    </row>
    <row r="161" spans="7:12">
      <c r="G161" s="1041"/>
      <c r="H161" s="1041"/>
      <c r="I161" s="1041"/>
      <c r="J161" s="1041"/>
      <c r="K161" s="1041"/>
      <c r="L161" s="1041"/>
    </row>
    <row r="162" spans="7:12">
      <c r="G162" s="1041"/>
      <c r="H162" s="1041"/>
      <c r="I162" s="1041"/>
      <c r="J162" s="1041"/>
      <c r="K162" s="1041"/>
      <c r="L162" s="1041"/>
    </row>
  </sheetData>
  <sheetProtection algorithmName="SHA-512" hashValue="kRJ1MzU58ql3311vBvMQo+3Og4zV2SjfqCPgKDrUl9EwTPIuhGG9Wrvnu3VsJWhjNrzz9qIuEkZioyfBvtSmsA==" saltValue="XoBs1q9HF306Yb/+UIP0sw==" spinCount="100000" sheet="1" objects="1" scenarios="1"/>
  <mergeCells count="35">
    <mergeCell ref="C17:L17"/>
    <mergeCell ref="C21:L21"/>
    <mergeCell ref="C25:L25"/>
    <mergeCell ref="C27:L27"/>
    <mergeCell ref="A3:L3"/>
    <mergeCell ref="C9:L9"/>
    <mergeCell ref="C11:L11"/>
    <mergeCell ref="C13:L13"/>
    <mergeCell ref="C15:L15"/>
    <mergeCell ref="A5:L5"/>
    <mergeCell ref="C19:L19"/>
    <mergeCell ref="I42:J42"/>
    <mergeCell ref="K42:L42"/>
    <mergeCell ref="E39:G39"/>
    <mergeCell ref="J39:L39"/>
    <mergeCell ref="B40:D40"/>
    <mergeCell ref="E40:G40"/>
    <mergeCell ref="I40:J40"/>
    <mergeCell ref="K40:L40"/>
    <mergeCell ref="C29:L29"/>
    <mergeCell ref="F45:G45"/>
    <mergeCell ref="K45:L45"/>
    <mergeCell ref="E46:G46"/>
    <mergeCell ref="C23:L23"/>
    <mergeCell ref="B43:D43"/>
    <mergeCell ref="B44:L44"/>
    <mergeCell ref="E38:G38"/>
    <mergeCell ref="J38:L38"/>
    <mergeCell ref="C31:L31"/>
    <mergeCell ref="C33:L33"/>
    <mergeCell ref="B35:L35"/>
    <mergeCell ref="B36:L36"/>
    <mergeCell ref="B37:L37"/>
    <mergeCell ref="B42:D42"/>
    <mergeCell ref="E42:G42"/>
  </mergeCells>
  <pageMargins left="0.75" right="0.5" top="0.5" bottom="0.75" header="0" footer="0.5"/>
  <pageSetup scale="80" firstPageNumber="29" orientation="portrait" verticalDpi="300" r:id="rId1"/>
  <headerFooter alignWithMargins="0">
    <oddFooter>&amp;C&amp;A&amp;R&amp;D &amp;T</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1">
    <pageSetUpPr fitToPage="1"/>
  </sheetPr>
  <dimension ref="A1:L83"/>
  <sheetViews>
    <sheetView zoomScaleNormal="100" workbookViewId="0"/>
  </sheetViews>
  <sheetFormatPr defaultRowHeight="12.75"/>
  <cols>
    <col min="1" max="1" width="3.7109375" style="4" customWidth="1"/>
    <col min="2" max="3" width="3.42578125" style="1094" customWidth="1"/>
    <col min="4" max="4" width="3.42578125" style="1565" customWidth="1"/>
    <col min="5" max="5" width="69" style="4" customWidth="1"/>
    <col min="6" max="6" width="11.7109375" style="12" customWidth="1"/>
    <col min="7" max="8" width="11.7109375" style="911" customWidth="1"/>
    <col min="9" max="16384" width="9.140625" style="4"/>
  </cols>
  <sheetData>
    <row r="1" spans="1:9" s="814" customFormat="1">
      <c r="A1" s="1302" t="str">
        <f>IF('FORM 1040-1'!D15="","",'FORM 1040-1'!D15)</f>
        <v/>
      </c>
      <c r="B1" s="1305"/>
      <c r="C1" s="1305"/>
      <c r="D1" s="1305"/>
      <c r="E1" s="1303"/>
      <c r="F1" s="1304"/>
      <c r="G1" s="1304"/>
      <c r="H1" s="1294" t="str">
        <f>IF('FORM 1040-1'!$E$12="","",'FORM 1040-1'!$E$12)</f>
        <v/>
      </c>
    </row>
    <row r="2" spans="1:9" s="814" customFormat="1">
      <c r="B2" s="1094"/>
      <c r="C2" s="1094"/>
      <c r="D2" s="1565"/>
      <c r="F2" s="801"/>
      <c r="G2" s="911"/>
      <c r="H2" s="911"/>
    </row>
    <row r="3" spans="1:9" ht="15" customHeight="1" thickBot="1">
      <c r="A3" s="2201" t="s">
        <v>2073</v>
      </c>
      <c r="B3" s="2201"/>
      <c r="C3" s="2201"/>
      <c r="D3" s="2201"/>
      <c r="E3" s="2201"/>
      <c r="F3" s="2201"/>
      <c r="G3" s="2201"/>
      <c r="H3" s="2201"/>
    </row>
    <row r="4" spans="1:9" ht="15" customHeight="1" thickBot="1">
      <c r="F4" s="2255" t="s">
        <v>938</v>
      </c>
      <c r="G4" s="2256"/>
      <c r="H4" s="2257"/>
    </row>
    <row r="5" spans="1:9" s="899" customFormat="1" ht="15" customHeight="1">
      <c r="B5" s="1094"/>
      <c r="C5" s="1094"/>
      <c r="D5" s="1565"/>
      <c r="F5" s="2253" t="s">
        <v>795</v>
      </c>
      <c r="G5" s="2261" t="s">
        <v>937</v>
      </c>
      <c r="H5" s="2262"/>
    </row>
    <row r="6" spans="1:9" ht="26.25" thickBot="1">
      <c r="B6" s="2201" t="s">
        <v>1457</v>
      </c>
      <c r="C6" s="2201"/>
      <c r="D6" s="2201"/>
      <c r="E6" s="2260"/>
      <c r="F6" s="2254"/>
      <c r="G6" s="1178" t="s">
        <v>1649</v>
      </c>
      <c r="H6" s="1182" t="s">
        <v>1650</v>
      </c>
    </row>
    <row r="7" spans="1:9" s="1077" customFormat="1" ht="6" customHeight="1">
      <c r="B7" s="1187"/>
      <c r="C7" s="1187"/>
      <c r="D7" s="1187"/>
      <c r="E7" s="1009"/>
      <c r="F7" s="1078"/>
      <c r="G7" s="1078"/>
      <c r="H7" s="1074"/>
    </row>
    <row r="8" spans="1:9" s="1081" customFormat="1" ht="26.1" customHeight="1" thickBot="1">
      <c r="A8" s="206" t="s">
        <v>53</v>
      </c>
      <c r="B8" s="2095" t="s">
        <v>2664</v>
      </c>
      <c r="C8" s="2095"/>
      <c r="D8" s="2095"/>
      <c r="E8" s="2095"/>
    </row>
    <row r="9" spans="1:9" ht="15" customHeight="1">
      <c r="B9" s="132">
        <v>1</v>
      </c>
      <c r="C9" s="1603" t="s">
        <v>1664</v>
      </c>
      <c r="D9" s="1603"/>
      <c r="E9" s="1598"/>
      <c r="F9" s="1170" t="str">
        <f>IF('FORM 1040-15'!S22="","",('FORM 1040-15'!S22))</f>
        <v/>
      </c>
      <c r="G9" s="1174">
        <v>50</v>
      </c>
      <c r="H9" s="1175">
        <v>30</v>
      </c>
    </row>
    <row r="10" spans="1:9" ht="15" customHeight="1" thickBot="1">
      <c r="B10" s="132">
        <v>2</v>
      </c>
      <c r="C10" s="1603" t="s">
        <v>2000</v>
      </c>
      <c r="D10" s="1603"/>
      <c r="E10" s="1598"/>
      <c r="F10" s="1171">
        <f>IF('FORM 1040-15'!S26="","",('FORM 1040-15'!S26))</f>
        <v>0</v>
      </c>
      <c r="G10" s="1178">
        <v>0</v>
      </c>
      <c r="H10" s="1179">
        <v>100</v>
      </c>
      <c r="I10" s="915"/>
    </row>
    <row r="11" spans="1:9" ht="15" customHeight="1" thickBot="1">
      <c r="B11" s="132">
        <v>3</v>
      </c>
      <c r="C11" s="1603" t="s">
        <v>2001</v>
      </c>
      <c r="D11" s="1603"/>
      <c r="E11" s="1598"/>
      <c r="F11" s="1186"/>
      <c r="G11" s="981"/>
      <c r="H11" s="981"/>
    </row>
    <row r="12" spans="1:9" ht="15" customHeight="1">
      <c r="C12" s="1094" t="s">
        <v>63</v>
      </c>
      <c r="D12" s="1603" t="s">
        <v>2002</v>
      </c>
      <c r="E12" s="2263"/>
      <c r="F12" s="1170">
        <f>IF('FORM 1040-15'!S40="","",('FORM 1040-15'!S40))</f>
        <v>0</v>
      </c>
      <c r="G12" s="1174">
        <v>20</v>
      </c>
      <c r="H12" s="1175">
        <v>20</v>
      </c>
    </row>
    <row r="13" spans="1:9" s="899" customFormat="1" ht="15" customHeight="1">
      <c r="B13" s="1094"/>
      <c r="C13" s="1094" t="s">
        <v>64</v>
      </c>
      <c r="D13" s="1603" t="s">
        <v>2003</v>
      </c>
      <c r="E13" s="2263"/>
      <c r="F13" s="1172">
        <f>IF('FORM 1040-15'!S44="","",('FORM 1040-15'!S44))</f>
        <v>0</v>
      </c>
      <c r="G13" s="1176">
        <v>0</v>
      </c>
      <c r="H13" s="1177">
        <v>10</v>
      </c>
    </row>
    <row r="14" spans="1:9" s="1562" customFormat="1" ht="15" customHeight="1">
      <c r="B14" s="1565"/>
      <c r="C14" s="1565" t="s">
        <v>67</v>
      </c>
      <c r="D14" s="1603" t="s">
        <v>2815</v>
      </c>
      <c r="E14" s="2263"/>
      <c r="F14" s="1172">
        <f>+'FORM 1040-15'!X48</f>
        <v>0</v>
      </c>
      <c r="G14" s="1176">
        <v>0</v>
      </c>
      <c r="H14" s="1177">
        <v>10</v>
      </c>
    </row>
    <row r="15" spans="1:9" s="899" customFormat="1" ht="15" customHeight="1">
      <c r="B15" s="1094"/>
      <c r="C15" s="1094" t="s">
        <v>92</v>
      </c>
      <c r="D15" s="1603" t="s">
        <v>2004</v>
      </c>
      <c r="E15" s="2263"/>
      <c r="F15" s="1172">
        <f>IF('FORM 1040-15'!S62="","",('FORM 1040-15'!S62))</f>
        <v>0</v>
      </c>
      <c r="G15" s="1176">
        <v>25</v>
      </c>
      <c r="H15" s="1177">
        <v>25</v>
      </c>
    </row>
    <row r="16" spans="1:9" s="899" customFormat="1" ht="15" customHeight="1">
      <c r="B16" s="132">
        <v>4</v>
      </c>
      <c r="C16" s="1603" t="s">
        <v>2005</v>
      </c>
      <c r="D16" s="1603"/>
      <c r="E16" s="1598"/>
      <c r="F16" s="1172">
        <f>IF('FORM 1040-16'!S5="","",('FORM 1040-16'!S5))</f>
        <v>0</v>
      </c>
      <c r="G16" s="1176">
        <v>0</v>
      </c>
      <c r="H16" s="1177">
        <v>15</v>
      </c>
    </row>
    <row r="17" spans="1:12" s="899" customFormat="1" ht="15" customHeight="1" thickBot="1">
      <c r="B17" s="132">
        <v>5</v>
      </c>
      <c r="C17" s="1603" t="s">
        <v>2006</v>
      </c>
      <c r="D17" s="1603"/>
      <c r="E17" s="1598"/>
      <c r="F17" s="1171">
        <f>IF('FORM 1040-16'!S11="","",('FORM 1040-16'!S11))</f>
        <v>0</v>
      </c>
      <c r="G17" s="1178">
        <v>25</v>
      </c>
      <c r="H17" s="1179">
        <v>25</v>
      </c>
    </row>
    <row r="18" spans="1:12" s="899" customFormat="1" ht="15" customHeight="1">
      <c r="B18" s="1094"/>
      <c r="C18" s="1094"/>
      <c r="D18" s="1565"/>
      <c r="F18" s="914"/>
      <c r="G18" s="1079"/>
      <c r="H18" s="1079"/>
    </row>
    <row r="19" spans="1:12" ht="15" customHeight="1" thickBot="1">
      <c r="A19" s="85" t="s">
        <v>54</v>
      </c>
      <c r="B19" s="1593" t="s">
        <v>33</v>
      </c>
      <c r="C19" s="1593"/>
      <c r="D19" s="1593"/>
      <c r="E19" s="1593"/>
      <c r="F19" s="914"/>
      <c r="G19" s="1079"/>
      <c r="H19" s="1079"/>
    </row>
    <row r="20" spans="1:12" ht="15" customHeight="1">
      <c r="B20" s="132">
        <v>1</v>
      </c>
      <c r="C20" s="1603" t="s">
        <v>87</v>
      </c>
      <c r="D20" s="1603"/>
      <c r="E20" s="1598"/>
      <c r="F20" s="1170">
        <f>IF('FORM 1040-16'!S17="","",('FORM 1040-16'!S17))</f>
        <v>0</v>
      </c>
      <c r="G20" s="1174">
        <v>25</v>
      </c>
      <c r="H20" s="1175">
        <v>25</v>
      </c>
    </row>
    <row r="21" spans="1:12" ht="15" customHeight="1">
      <c r="B21" s="132">
        <v>2</v>
      </c>
      <c r="C21" s="1603" t="s">
        <v>94</v>
      </c>
      <c r="D21" s="1603"/>
      <c r="E21" s="1598"/>
      <c r="F21" s="1172">
        <f>IF('FORM 1040-16'!S21="","",('FORM 1040-16'!S21))</f>
        <v>0</v>
      </c>
      <c r="G21" s="1176">
        <v>25</v>
      </c>
      <c r="H21" s="1177">
        <v>25</v>
      </c>
    </row>
    <row r="22" spans="1:12" ht="15" customHeight="1">
      <c r="B22" s="132">
        <v>3</v>
      </c>
      <c r="C22" s="1603" t="s">
        <v>2007</v>
      </c>
      <c r="D22" s="1603"/>
      <c r="E22" s="1598"/>
      <c r="F22" s="1172">
        <f>IF('FORM 1040-16'!S27="","",('FORM 1040-16'!S27))</f>
        <v>0</v>
      </c>
      <c r="G22" s="1176">
        <v>25</v>
      </c>
      <c r="H22" s="1177">
        <v>25</v>
      </c>
    </row>
    <row r="23" spans="1:12" ht="15" customHeight="1">
      <c r="B23" s="132">
        <v>4</v>
      </c>
      <c r="C23" s="1603" t="s">
        <v>2817</v>
      </c>
      <c r="D23" s="1603"/>
      <c r="E23" s="1598"/>
      <c r="F23" s="1172">
        <f>IF('FORM 1040-16'!S35="","",('FORM 1040-16'!S35))</f>
        <v>0</v>
      </c>
      <c r="G23" s="1176">
        <v>20</v>
      </c>
      <c r="H23" s="1177">
        <v>20</v>
      </c>
    </row>
    <row r="24" spans="1:12" ht="15" customHeight="1">
      <c r="B24" s="132">
        <v>5</v>
      </c>
      <c r="C24" s="1603" t="s">
        <v>178</v>
      </c>
      <c r="D24" s="1603"/>
      <c r="E24" s="1598"/>
      <c r="F24" s="1172">
        <f>IF('FORM 1040-16'!S39="","",('FORM 1040-16'!S39))</f>
        <v>0</v>
      </c>
      <c r="G24" s="1176">
        <v>25</v>
      </c>
      <c r="H24" s="1177">
        <v>25</v>
      </c>
    </row>
    <row r="25" spans="1:12" ht="15" customHeight="1">
      <c r="B25" s="132">
        <v>6</v>
      </c>
      <c r="C25" s="1603" t="s">
        <v>1458</v>
      </c>
      <c r="D25" s="1603"/>
      <c r="E25" s="1598"/>
      <c r="F25" s="1172">
        <f>IF('FORM 1040-16'!V48="","",('FORM 1040-16'!V48))</f>
        <v>0</v>
      </c>
      <c r="G25" s="1176">
        <v>25</v>
      </c>
      <c r="H25" s="1177">
        <v>25</v>
      </c>
    </row>
    <row r="26" spans="1:12" ht="15" customHeight="1" thickBot="1">
      <c r="B26" s="132">
        <v>7</v>
      </c>
      <c r="C26" s="1603" t="s">
        <v>1451</v>
      </c>
      <c r="D26" s="1603"/>
      <c r="E26" s="1598"/>
      <c r="F26" s="1171">
        <f>IF('FORM 1040-17'!U13="","",('FORM 1040-17'!U13))</f>
        <v>0</v>
      </c>
      <c r="G26" s="1178">
        <v>20</v>
      </c>
      <c r="H26" s="1179">
        <v>20</v>
      </c>
    </row>
    <row r="27" spans="1:12">
      <c r="F27" s="914"/>
      <c r="G27" s="1079"/>
      <c r="H27" s="1079"/>
    </row>
    <row r="28" spans="1:12" ht="13.5" thickBot="1">
      <c r="A28" s="85" t="s">
        <v>55</v>
      </c>
      <c r="B28" s="2258" t="s">
        <v>1997</v>
      </c>
      <c r="C28" s="2258"/>
      <c r="D28" s="2258"/>
      <c r="E28" s="2259"/>
      <c r="F28" s="914"/>
      <c r="G28" s="1079"/>
      <c r="H28" s="1079"/>
    </row>
    <row r="29" spans="1:12" ht="15" customHeight="1">
      <c r="B29" s="132">
        <v>1</v>
      </c>
      <c r="C29" s="1603" t="s">
        <v>2008</v>
      </c>
      <c r="D29" s="1603"/>
      <c r="E29" s="1598"/>
      <c r="F29" s="1170">
        <f>IF('FORM 1040-17'!U19="","",('FORM 1040-17'!U19))</f>
        <v>0</v>
      </c>
      <c r="G29" s="1174">
        <v>30</v>
      </c>
      <c r="H29" s="1175">
        <v>15</v>
      </c>
    </row>
    <row r="30" spans="1:12" ht="15" customHeight="1">
      <c r="B30" s="132">
        <v>2</v>
      </c>
      <c r="C30" s="1603" t="s">
        <v>2009</v>
      </c>
      <c r="D30" s="1603"/>
      <c r="E30" s="1598"/>
      <c r="F30" s="1172">
        <f>IF('FORM 1040-17'!U21="","",('FORM 1040-17'!U21))</f>
        <v>0</v>
      </c>
      <c r="G30" s="1176">
        <v>20</v>
      </c>
      <c r="H30" s="1177">
        <v>10</v>
      </c>
    </row>
    <row r="31" spans="1:12" ht="26.1" customHeight="1">
      <c r="B31" s="158">
        <v>3</v>
      </c>
      <c r="C31" s="1656" t="s">
        <v>1452</v>
      </c>
      <c r="D31" s="1656"/>
      <c r="E31" s="1679"/>
      <c r="F31" s="1172">
        <f>IF('FORM 1040-17'!U23="","",('FORM 1040-17'!U23))</f>
        <v>0</v>
      </c>
      <c r="G31" s="1176">
        <v>20</v>
      </c>
      <c r="H31" s="1177">
        <v>10</v>
      </c>
    </row>
    <row r="32" spans="1:12" ht="15" customHeight="1">
      <c r="B32" s="132">
        <v>4</v>
      </c>
      <c r="C32" s="1603" t="s">
        <v>2010</v>
      </c>
      <c r="D32" s="1603"/>
      <c r="E32" s="1598"/>
      <c r="F32" s="1172">
        <f>IF('FORM 1040-17'!U25="","",('FORM 1040-17'!U25))</f>
        <v>0</v>
      </c>
      <c r="G32" s="1176">
        <v>20</v>
      </c>
      <c r="H32" s="1177">
        <v>10</v>
      </c>
      <c r="J32" s="899"/>
      <c r="K32" s="899"/>
      <c r="L32" s="899"/>
    </row>
    <row r="33" spans="1:12" ht="15" customHeight="1" thickBot="1">
      <c r="B33" s="132">
        <v>5</v>
      </c>
      <c r="C33" s="1603" t="s">
        <v>2011</v>
      </c>
      <c r="D33" s="1603"/>
      <c r="E33" s="1598"/>
      <c r="F33" s="1171">
        <f>IF('FORM 1040-17'!U33="","",('FORM 1040-17'!U33))</f>
        <v>0</v>
      </c>
      <c r="G33" s="1178">
        <v>20</v>
      </c>
      <c r="H33" s="1179">
        <v>10</v>
      </c>
      <c r="J33" s="899"/>
      <c r="K33" s="899"/>
      <c r="L33" s="899"/>
    </row>
    <row r="34" spans="1:12" ht="15" customHeight="1" thickBot="1">
      <c r="B34" s="132">
        <v>6</v>
      </c>
      <c r="C34" s="1603" t="s">
        <v>2012</v>
      </c>
      <c r="D34" s="1603"/>
      <c r="E34" s="1598"/>
      <c r="F34" s="1186"/>
      <c r="G34" s="1079"/>
      <c r="H34" s="1079"/>
      <c r="J34" s="899"/>
      <c r="K34" s="899"/>
      <c r="L34" s="899"/>
    </row>
    <row r="35" spans="1:12" ht="26.1" customHeight="1">
      <c r="B35" s="158"/>
      <c r="C35" s="206" t="s">
        <v>63</v>
      </c>
      <c r="D35" s="1656" t="s">
        <v>2013</v>
      </c>
      <c r="E35" s="2248"/>
      <c r="F35" s="1170">
        <f>IF('FORM 1040-17'!U37="","",('FORM 1040-17'!U37))</f>
        <v>0</v>
      </c>
      <c r="G35" s="1174">
        <v>10</v>
      </c>
      <c r="H35" s="1175">
        <v>5</v>
      </c>
      <c r="J35" s="899"/>
      <c r="K35" s="899"/>
      <c r="L35" s="899"/>
    </row>
    <row r="36" spans="1:12" ht="26.1" customHeight="1">
      <c r="B36" s="132"/>
      <c r="C36" s="206" t="s">
        <v>64</v>
      </c>
      <c r="D36" s="1656" t="s">
        <v>2014</v>
      </c>
      <c r="E36" s="2248"/>
      <c r="F36" s="1172">
        <f>IF('FORM 1040-17'!U39="","",('FORM 1040-17'!U39))</f>
        <v>0</v>
      </c>
      <c r="G36" s="1176">
        <v>10</v>
      </c>
      <c r="H36" s="1177">
        <v>5</v>
      </c>
      <c r="J36" s="899"/>
      <c r="K36" s="899"/>
      <c r="L36" s="899"/>
    </row>
    <row r="37" spans="1:12" ht="26.1" customHeight="1">
      <c r="B37" s="132"/>
      <c r="C37" s="206" t="s">
        <v>67</v>
      </c>
      <c r="D37" s="1656" t="s">
        <v>2015</v>
      </c>
      <c r="E37" s="2248"/>
      <c r="F37" s="1172">
        <f>IF('FORM 1040-17'!U41="","",('FORM 1040-17'!U41))</f>
        <v>0</v>
      </c>
      <c r="G37" s="1176">
        <v>10</v>
      </c>
      <c r="H37" s="1177">
        <v>5</v>
      </c>
    </row>
    <row r="38" spans="1:12" s="899" customFormat="1" ht="26.1" customHeight="1">
      <c r="B38" s="132"/>
      <c r="C38" s="206" t="s">
        <v>92</v>
      </c>
      <c r="D38" s="1656" t="s">
        <v>2665</v>
      </c>
      <c r="E38" s="2248"/>
      <c r="F38" s="1172">
        <f>IF('FORM 1040-17'!U43="","",('FORM 1040-17'!U43))</f>
        <v>0</v>
      </c>
      <c r="G38" s="1176">
        <v>10</v>
      </c>
      <c r="H38" s="1177">
        <v>5</v>
      </c>
    </row>
    <row r="39" spans="1:12" s="899" customFormat="1" ht="26.1" customHeight="1">
      <c r="B39" s="132"/>
      <c r="C39" s="206" t="s">
        <v>93</v>
      </c>
      <c r="D39" s="1656" t="s">
        <v>2016</v>
      </c>
      <c r="E39" s="2248"/>
      <c r="F39" s="1172">
        <f>IF('FORM 1040-17'!U45="","",('FORM 1040-17'!U45))</f>
        <v>0</v>
      </c>
      <c r="G39" s="1176">
        <v>10</v>
      </c>
      <c r="H39" s="1177">
        <v>5</v>
      </c>
    </row>
    <row r="40" spans="1:12" s="899" customFormat="1" ht="39" customHeight="1" thickBot="1">
      <c r="B40" s="132"/>
      <c r="C40" s="206" t="s">
        <v>281</v>
      </c>
      <c r="D40" s="1656" t="s">
        <v>2017</v>
      </c>
      <c r="E40" s="2248"/>
      <c r="F40" s="1172">
        <f>IF('FORM 1040-17'!U47="","",('FORM 1040-17'!U47))</f>
        <v>0</v>
      </c>
      <c r="G40" s="1572">
        <v>10</v>
      </c>
      <c r="H40" s="1573">
        <v>5</v>
      </c>
    </row>
    <row r="41" spans="1:12" s="1562" customFormat="1" ht="15" customHeight="1" thickBot="1">
      <c r="B41" s="132"/>
      <c r="C41" s="1565" t="s">
        <v>282</v>
      </c>
      <c r="D41" s="1656" t="s">
        <v>2802</v>
      </c>
      <c r="E41" s="1679"/>
      <c r="F41" s="1186"/>
      <c r="G41" s="1574"/>
      <c r="H41" s="1574"/>
    </row>
    <row r="42" spans="1:12" s="898" customFormat="1" ht="26.1" customHeight="1">
      <c r="B42" s="132"/>
      <c r="C42" s="1094"/>
      <c r="D42" s="158">
        <v>1</v>
      </c>
      <c r="E42" s="896" t="s">
        <v>2818</v>
      </c>
      <c r="F42" s="1172">
        <f>IF('FORM 1040-17'!AD59="","",('FORM 1040-17'!AD59))</f>
        <v>0</v>
      </c>
      <c r="G42" s="2249">
        <v>20</v>
      </c>
      <c r="H42" s="2251">
        <v>10</v>
      </c>
    </row>
    <row r="43" spans="1:12" s="1564" customFormat="1" ht="15" customHeight="1">
      <c r="B43" s="132"/>
      <c r="C43" s="1565"/>
      <c r="D43" s="132">
        <v>2</v>
      </c>
      <c r="E43" s="1563" t="s">
        <v>2819</v>
      </c>
      <c r="F43" s="1571">
        <f>+'FORM 1040-18'!AD7</f>
        <v>0</v>
      </c>
      <c r="G43" s="2250"/>
      <c r="H43" s="2252"/>
    </row>
    <row r="44" spans="1:12" s="898" customFormat="1" ht="15" customHeight="1" thickBot="1">
      <c r="B44" s="132"/>
      <c r="C44" s="1094" t="s">
        <v>290</v>
      </c>
      <c r="D44" s="1656" t="s">
        <v>2018</v>
      </c>
      <c r="E44" s="2248"/>
      <c r="F44" s="1171">
        <f>+'FORM 1040-18'!Y15</f>
        <v>0</v>
      </c>
      <c r="G44" s="1178">
        <v>10</v>
      </c>
      <c r="H44" s="1179">
        <v>5</v>
      </c>
    </row>
    <row r="45" spans="1:12">
      <c r="F45" s="914"/>
      <c r="G45" s="1079"/>
      <c r="H45" s="1079"/>
    </row>
    <row r="46" spans="1:12" ht="15" customHeight="1" thickBot="1">
      <c r="A46" s="85" t="s">
        <v>56</v>
      </c>
      <c r="B46" s="1593" t="s">
        <v>104</v>
      </c>
      <c r="C46" s="1593"/>
      <c r="D46" s="1593"/>
      <c r="E46" s="1593"/>
      <c r="F46" s="914"/>
      <c r="G46" s="1079"/>
      <c r="H46" s="1079"/>
    </row>
    <row r="47" spans="1:12" ht="15" customHeight="1">
      <c r="B47" s="132">
        <v>1</v>
      </c>
      <c r="C47" s="1603" t="s">
        <v>2666</v>
      </c>
      <c r="D47" s="1603"/>
      <c r="E47" s="1598"/>
      <c r="F47" s="1170">
        <f>IF('FORM 1040-18'!Y21="","",('FORM 1040-18'!Y21))</f>
        <v>0</v>
      </c>
      <c r="G47" s="1174">
        <v>3</v>
      </c>
      <c r="H47" s="1175">
        <v>3</v>
      </c>
    </row>
    <row r="48" spans="1:12" ht="15" customHeight="1">
      <c r="B48" s="132">
        <v>2</v>
      </c>
      <c r="C48" s="1603" t="s">
        <v>2667</v>
      </c>
      <c r="D48" s="1603"/>
      <c r="E48" s="1598"/>
      <c r="F48" s="1172">
        <f>IF('FORM 1040-18'!Y25="","",('FORM 1040-18'!Y25))</f>
        <v>0</v>
      </c>
      <c r="G48" s="1176">
        <v>4</v>
      </c>
      <c r="H48" s="1177">
        <v>4</v>
      </c>
    </row>
    <row r="49" spans="1:8" ht="26.1" customHeight="1" thickBot="1">
      <c r="B49" s="158">
        <v>3</v>
      </c>
      <c r="C49" s="1656" t="s">
        <v>2668</v>
      </c>
      <c r="D49" s="1656"/>
      <c r="E49" s="1679"/>
      <c r="F49" s="1171">
        <f>IF('FORM 1040-18'!Y29="","",('FORM 1040-18'!Y29))</f>
        <v>0</v>
      </c>
      <c r="G49" s="1178">
        <v>3</v>
      </c>
      <c r="H49" s="1179">
        <v>3</v>
      </c>
    </row>
    <row r="50" spans="1:8" ht="13.5" thickBot="1">
      <c r="F50" s="914"/>
      <c r="G50" s="1079"/>
      <c r="H50" s="1079"/>
    </row>
    <row r="51" spans="1:8" ht="15" customHeight="1" thickBot="1">
      <c r="A51" s="903" t="s">
        <v>105</v>
      </c>
      <c r="B51" s="1593" t="s">
        <v>1998</v>
      </c>
      <c r="C51" s="1593"/>
      <c r="D51" s="1593"/>
      <c r="E51" s="1593"/>
      <c r="F51" s="1173">
        <f>IF('FORM 1040-18'!AB45="","",('FORM 1040-18'!AB45))</f>
        <v>0</v>
      </c>
      <c r="G51" s="1180">
        <v>20</v>
      </c>
      <c r="H51" s="1181">
        <v>20</v>
      </c>
    </row>
    <row r="52" spans="1:8" ht="13.5" thickBot="1">
      <c r="F52" s="914"/>
      <c r="G52" s="1079"/>
      <c r="H52" s="1079"/>
    </row>
    <row r="53" spans="1:8" ht="15" customHeight="1" thickBot="1">
      <c r="A53" s="85" t="s">
        <v>106</v>
      </c>
      <c r="B53" s="1593" t="s">
        <v>108</v>
      </c>
      <c r="C53" s="1593"/>
      <c r="D53" s="1593"/>
      <c r="E53" s="1596"/>
      <c r="F53" s="1173">
        <f>IF('FORM 1040-18'!Y49="","",('FORM 1040-18'!Y49))</f>
        <v>0</v>
      </c>
      <c r="G53" s="1180">
        <v>25</v>
      </c>
      <c r="H53" s="1181">
        <v>25</v>
      </c>
    </row>
    <row r="54" spans="1:8" ht="13.5" thickBot="1">
      <c r="F54" s="914"/>
      <c r="G54" s="1079"/>
      <c r="H54" s="1079"/>
    </row>
    <row r="55" spans="1:8" ht="15" customHeight="1" thickBot="1">
      <c r="A55" s="85" t="s">
        <v>107</v>
      </c>
      <c r="B55" s="1593" t="s">
        <v>175</v>
      </c>
      <c r="C55" s="1593"/>
      <c r="D55" s="1593"/>
      <c r="E55" s="1596"/>
      <c r="F55" s="1173">
        <f>IF('FORM 1040-19'!O7="","",('FORM 1040-19'!O7))</f>
        <v>0</v>
      </c>
      <c r="G55" s="1180">
        <v>5</v>
      </c>
      <c r="H55" s="1181">
        <v>5</v>
      </c>
    </row>
    <row r="56" spans="1:8" ht="13.5" thickBot="1">
      <c r="F56" s="914"/>
      <c r="G56" s="1079"/>
      <c r="H56" s="1079"/>
    </row>
    <row r="57" spans="1:8" ht="15" customHeight="1" thickBot="1">
      <c r="A57" s="85" t="s">
        <v>109</v>
      </c>
      <c r="B57" s="1593" t="s">
        <v>283</v>
      </c>
      <c r="C57" s="1593"/>
      <c r="D57" s="1593"/>
      <c r="E57" s="1596"/>
      <c r="F57" s="1173">
        <f>IF('FORM 1040-19'!O23="","",('FORM 1040-19'!O23))</f>
        <v>0</v>
      </c>
      <c r="G57" s="1180">
        <v>20</v>
      </c>
      <c r="H57" s="1181">
        <v>20</v>
      </c>
    </row>
    <row r="58" spans="1:8" ht="13.5" thickBot="1">
      <c r="F58" s="914"/>
      <c r="G58" s="1079"/>
      <c r="H58" s="1079"/>
    </row>
    <row r="59" spans="1:8" ht="15" customHeight="1" thickBot="1">
      <c r="A59" s="903" t="s">
        <v>42</v>
      </c>
      <c r="B59" s="1593" t="s">
        <v>176</v>
      </c>
      <c r="C59" s="1593"/>
      <c r="D59" s="1593"/>
      <c r="E59" s="1596"/>
      <c r="F59" s="1173">
        <f>IF('FORM 1040-19'!R29="","",('FORM 1040-19'!R29))</f>
        <v>0</v>
      </c>
      <c r="G59" s="1180">
        <v>50</v>
      </c>
      <c r="H59" s="1181">
        <v>50</v>
      </c>
    </row>
    <row r="60" spans="1:8" ht="12.75" customHeight="1" thickBot="1">
      <c r="F60" s="914"/>
      <c r="G60" s="1079"/>
      <c r="H60" s="1079"/>
    </row>
    <row r="61" spans="1:8" ht="15" customHeight="1" thickBot="1">
      <c r="A61" s="1094" t="s">
        <v>110</v>
      </c>
      <c r="B61" s="1656" t="s">
        <v>181</v>
      </c>
      <c r="C61" s="1656"/>
      <c r="D61" s="1656"/>
      <c r="E61" s="1679"/>
      <c r="F61" s="1173">
        <f>IF('FORM 1040-19'!O39="","",('FORM 1040-19'!O39))</f>
        <v>0</v>
      </c>
      <c r="G61" s="1180">
        <v>150</v>
      </c>
      <c r="H61" s="1181">
        <v>150</v>
      </c>
    </row>
    <row r="62" spans="1:8" ht="13.5" thickBot="1">
      <c r="F62" s="914"/>
      <c r="G62" s="1079"/>
      <c r="H62" s="1079"/>
    </row>
    <row r="63" spans="1:8" ht="15" customHeight="1" thickBot="1">
      <c r="A63" s="85" t="s">
        <v>111</v>
      </c>
      <c r="B63" s="1593" t="s">
        <v>2669</v>
      </c>
      <c r="C63" s="1593"/>
      <c r="D63" s="1593"/>
      <c r="E63" s="1596"/>
      <c r="F63" s="1173">
        <f>IF('FORM 1040-19'!O43="","",('FORM 1040-19'!O43))</f>
        <v>0</v>
      </c>
      <c r="G63" s="1180">
        <v>40</v>
      </c>
      <c r="H63" s="1181">
        <v>40</v>
      </c>
    </row>
    <row r="64" spans="1:8">
      <c r="F64" s="914"/>
      <c r="G64" s="1079"/>
      <c r="H64" s="1079"/>
    </row>
    <row r="65" spans="1:8" ht="15" customHeight="1" thickBot="1">
      <c r="A65" s="85" t="s">
        <v>112</v>
      </c>
      <c r="B65" s="1593" t="s">
        <v>1999</v>
      </c>
      <c r="C65" s="1593"/>
      <c r="D65" s="1593"/>
      <c r="E65" s="1593"/>
      <c r="F65" s="914"/>
      <c r="G65" s="1079"/>
      <c r="H65" s="1079"/>
    </row>
    <row r="66" spans="1:8" ht="15" customHeight="1">
      <c r="B66" s="132">
        <v>1</v>
      </c>
      <c r="C66" s="1603" t="s">
        <v>2019</v>
      </c>
      <c r="D66" s="1603"/>
      <c r="E66" s="1598"/>
      <c r="F66" s="1170">
        <f>IF('FORM 1040-20'!W16="","",('FORM 1040-20'!W16))</f>
        <v>0</v>
      </c>
      <c r="G66" s="1174">
        <v>15</v>
      </c>
      <c r="H66" s="1175">
        <v>15</v>
      </c>
    </row>
    <row r="67" spans="1:8" ht="15" customHeight="1">
      <c r="B67" s="132">
        <v>2</v>
      </c>
      <c r="C67" s="1603" t="s">
        <v>2670</v>
      </c>
      <c r="D67" s="1603"/>
      <c r="E67" s="1598"/>
      <c r="F67" s="1172">
        <f>IF('FORM 1040-20'!W20="","",('FORM 1040-20'!W20))</f>
        <v>0</v>
      </c>
      <c r="G67" s="1176">
        <v>15</v>
      </c>
      <c r="H67" s="1177">
        <v>15</v>
      </c>
    </row>
    <row r="68" spans="1:8" ht="15" customHeight="1">
      <c r="B68" s="132">
        <v>3</v>
      </c>
      <c r="C68" s="1603" t="s">
        <v>2671</v>
      </c>
      <c r="D68" s="1603"/>
      <c r="E68" s="1598"/>
      <c r="F68" s="1172">
        <f>IF('FORM 1040-20'!W26="","",('FORM 1040-20'!W26))</f>
        <v>0</v>
      </c>
      <c r="G68" s="1176">
        <v>15</v>
      </c>
      <c r="H68" s="1177">
        <v>15</v>
      </c>
    </row>
    <row r="69" spans="1:8" ht="15" customHeight="1">
      <c r="B69" s="132">
        <v>4</v>
      </c>
      <c r="C69" s="1603" t="s">
        <v>2672</v>
      </c>
      <c r="D69" s="1603"/>
      <c r="E69" s="1598"/>
      <c r="F69" s="1172">
        <f>IF('FORM 1040-20'!W32="","",('FORM 1040-20'!W32))</f>
        <v>0</v>
      </c>
      <c r="G69" s="1176">
        <v>15</v>
      </c>
      <c r="H69" s="1177">
        <v>15</v>
      </c>
    </row>
    <row r="70" spans="1:8" ht="15" customHeight="1">
      <c r="B70" s="132">
        <v>5</v>
      </c>
      <c r="C70" s="1603" t="s">
        <v>1454</v>
      </c>
      <c r="D70" s="1603"/>
      <c r="E70" s="1598"/>
      <c r="F70" s="1172">
        <f>IF('FORM 1040-20'!W38="","",('FORM 1040-20'!W38))</f>
        <v>0</v>
      </c>
      <c r="G70" s="1176">
        <v>15</v>
      </c>
      <c r="H70" s="1177">
        <v>15</v>
      </c>
    </row>
    <row r="71" spans="1:8" ht="26.1" customHeight="1">
      <c r="B71" s="158">
        <v>6</v>
      </c>
      <c r="C71" s="1656" t="s">
        <v>2673</v>
      </c>
      <c r="D71" s="1656"/>
      <c r="E71" s="1679"/>
      <c r="F71" s="1172">
        <f>IF('FORM 1040-21'!W8="","",('FORM 1040-21'!W8))</f>
        <v>0</v>
      </c>
      <c r="G71" s="1176">
        <v>15</v>
      </c>
      <c r="H71" s="1177">
        <v>15</v>
      </c>
    </row>
    <row r="72" spans="1:8" ht="15" customHeight="1">
      <c r="B72" s="132">
        <v>7</v>
      </c>
      <c r="C72" s="1603" t="s">
        <v>2674</v>
      </c>
      <c r="D72" s="1603"/>
      <c r="E72" s="1598"/>
      <c r="F72" s="1172">
        <f>IF('FORM 1040-21'!Z18="","",('FORM 1040-21'!Z18))</f>
        <v>0</v>
      </c>
      <c r="G72" s="1176">
        <v>15</v>
      </c>
      <c r="H72" s="1177">
        <v>15</v>
      </c>
    </row>
    <row r="73" spans="1:8" ht="15" customHeight="1">
      <c r="B73" s="132">
        <v>8</v>
      </c>
      <c r="C73" s="1603" t="s">
        <v>2020</v>
      </c>
      <c r="D73" s="1603"/>
      <c r="E73" s="1598"/>
      <c r="F73" s="1172">
        <f>IF('FORM 1040-21'!W22="","",('FORM 1040-21'!W22))</f>
        <v>0</v>
      </c>
      <c r="G73" s="1176">
        <v>15</v>
      </c>
      <c r="H73" s="1177">
        <v>15</v>
      </c>
    </row>
    <row r="74" spans="1:8" ht="15" customHeight="1">
      <c r="B74" s="132">
        <v>9</v>
      </c>
      <c r="C74" s="1603" t="s">
        <v>2021</v>
      </c>
      <c r="D74" s="1603"/>
      <c r="E74" s="1598"/>
      <c r="F74" s="1172">
        <f>IF('FORM 1040-21'!W26="","",('FORM 1040-21'!W26))</f>
        <v>0</v>
      </c>
      <c r="G74" s="1176">
        <v>15</v>
      </c>
      <c r="H74" s="1177">
        <v>0</v>
      </c>
    </row>
    <row r="75" spans="1:8" ht="15" customHeight="1">
      <c r="B75" s="132">
        <v>10</v>
      </c>
      <c r="C75" s="1656" t="s">
        <v>2821</v>
      </c>
      <c r="D75" s="1656"/>
      <c r="E75" s="1679"/>
      <c r="F75" s="1172">
        <f>IF('FORM 1040-21'!Z50="","",('FORM 1040-21'!Z50))</f>
        <v>0</v>
      </c>
      <c r="G75" s="1176">
        <v>10</v>
      </c>
      <c r="H75" s="1177">
        <v>10</v>
      </c>
    </row>
    <row r="76" spans="1:8" ht="15" customHeight="1">
      <c r="B76" s="132">
        <v>11</v>
      </c>
      <c r="C76" s="1603" t="s">
        <v>1804</v>
      </c>
      <c r="D76" s="1603"/>
      <c r="E76" s="1598"/>
      <c r="F76" s="1172">
        <f>IF('FORM 1040-22'!O54="","",('FORM 1040-22'!O54))</f>
        <v>0</v>
      </c>
      <c r="G76" s="1176">
        <v>10</v>
      </c>
      <c r="H76" s="1177">
        <v>10</v>
      </c>
    </row>
    <row r="77" spans="1:8" ht="15" customHeight="1">
      <c r="B77" s="132">
        <v>12</v>
      </c>
      <c r="C77" s="1603" t="s">
        <v>1455</v>
      </c>
      <c r="D77" s="1603"/>
      <c r="E77" s="1598"/>
      <c r="F77" s="1172">
        <f>IF('FORM 1040-23'!X8="","",('FORM 1040-23'!X8))</f>
        <v>0</v>
      </c>
      <c r="G77" s="1176">
        <v>10</v>
      </c>
      <c r="H77" s="1177">
        <v>10</v>
      </c>
    </row>
    <row r="78" spans="1:8" ht="15" customHeight="1">
      <c r="B78" s="132">
        <v>13</v>
      </c>
      <c r="C78" s="1603" t="s">
        <v>935</v>
      </c>
      <c r="D78" s="1603"/>
      <c r="E78" s="1598"/>
      <c r="F78" s="1172">
        <f>IF('FORM 1040-23'!X12="","",('FORM 1040-23'!X12))</f>
        <v>0</v>
      </c>
      <c r="G78" s="1176">
        <v>10</v>
      </c>
      <c r="H78" s="1177">
        <v>10</v>
      </c>
    </row>
    <row r="79" spans="1:8" ht="15" customHeight="1">
      <c r="B79" s="132">
        <v>14</v>
      </c>
      <c r="C79" s="1603" t="s">
        <v>2675</v>
      </c>
      <c r="D79" s="1603"/>
      <c r="E79" s="1598"/>
      <c r="F79" s="1172">
        <f>IF('FORM 1040-23'!X16="","",('FORM 1040-23'!X16))</f>
        <v>0</v>
      </c>
      <c r="G79" s="1176">
        <v>10</v>
      </c>
      <c r="H79" s="1177">
        <v>10</v>
      </c>
    </row>
    <row r="80" spans="1:8" ht="15" customHeight="1" thickBot="1">
      <c r="B80" s="132">
        <v>15</v>
      </c>
      <c r="C80" s="1603" t="s">
        <v>936</v>
      </c>
      <c r="D80" s="1603"/>
      <c r="E80" s="1598"/>
      <c r="F80" s="1171">
        <f>IF('FORM 1040-23'!X20="","",('FORM 1040-23'!X20))</f>
        <v>0</v>
      </c>
      <c r="G80" s="1178">
        <v>10</v>
      </c>
      <c r="H80" s="1179">
        <v>10</v>
      </c>
    </row>
    <row r="81" spans="5:8" ht="13.5" thickBot="1">
      <c r="F81" s="914"/>
      <c r="G81" s="1079"/>
      <c r="H81" s="1079"/>
    </row>
    <row r="82" spans="5:8" ht="15" customHeight="1" thickBot="1">
      <c r="E82" s="4" t="s">
        <v>121</v>
      </c>
      <c r="F82" s="1185">
        <f>SUM(F9:F80)</f>
        <v>0</v>
      </c>
      <c r="G82" s="1183">
        <f>SUM(G9:G80)</f>
        <v>1000</v>
      </c>
      <c r="H82" s="1184">
        <f>SUM(H9:H80)</f>
        <v>1000</v>
      </c>
    </row>
    <row r="83" spans="5:8" ht="13.5" thickTop="1"/>
  </sheetData>
  <sheetProtection algorithmName="SHA-512" hashValue="zfLnMinVJXldWjZewISkqPIX9fk7Xr2oAFGZOPbxgT6N2GZq7S/azD9dv7eQqMGAwNKLw8UG+DSa0LLOcTxurQ==" saltValue="fO3AHXDGi/porHY8S/KrAA==" spinCount="100000" sheet="1" objects="1" scenarios="1"/>
  <mergeCells count="67">
    <mergeCell ref="C20:E20"/>
    <mergeCell ref="C21:E21"/>
    <mergeCell ref="C23:E23"/>
    <mergeCell ref="C24:E24"/>
    <mergeCell ref="C9:E9"/>
    <mergeCell ref="C16:E16"/>
    <mergeCell ref="C17:E17"/>
    <mergeCell ref="C22:E22"/>
    <mergeCell ref="D12:E12"/>
    <mergeCell ref="D13:E13"/>
    <mergeCell ref="D14:E14"/>
    <mergeCell ref="D15:E15"/>
    <mergeCell ref="A3:H3"/>
    <mergeCell ref="F4:H4"/>
    <mergeCell ref="B61:E61"/>
    <mergeCell ref="B8:E8"/>
    <mergeCell ref="B19:E19"/>
    <mergeCell ref="B28:E28"/>
    <mergeCell ref="B46:E46"/>
    <mergeCell ref="B53:E53"/>
    <mergeCell ref="B55:E55"/>
    <mergeCell ref="B57:E57"/>
    <mergeCell ref="C29:E29"/>
    <mergeCell ref="B6:E6"/>
    <mergeCell ref="G5:H5"/>
    <mergeCell ref="B51:E51"/>
    <mergeCell ref="C10:E10"/>
    <mergeCell ref="C11:E11"/>
    <mergeCell ref="C25:E25"/>
    <mergeCell ref="C26:E26"/>
    <mergeCell ref="C31:E31"/>
    <mergeCell ref="C32:E32"/>
    <mergeCell ref="C33:E33"/>
    <mergeCell ref="C30:E30"/>
    <mergeCell ref="C69:E69"/>
    <mergeCell ref="C47:E47"/>
    <mergeCell ref="C48:E48"/>
    <mergeCell ref="C49:E49"/>
    <mergeCell ref="B59:E59"/>
    <mergeCell ref="B63:E63"/>
    <mergeCell ref="B65:E65"/>
    <mergeCell ref="C80:E80"/>
    <mergeCell ref="F5:F6"/>
    <mergeCell ref="C74:E74"/>
    <mergeCell ref="C76:E76"/>
    <mergeCell ref="C77:E77"/>
    <mergeCell ref="C78:E78"/>
    <mergeCell ref="C79:E79"/>
    <mergeCell ref="C70:E70"/>
    <mergeCell ref="C71:E71"/>
    <mergeCell ref="C75:E75"/>
    <mergeCell ref="C72:E72"/>
    <mergeCell ref="C73:E73"/>
    <mergeCell ref="C66:E66"/>
    <mergeCell ref="C67:E67"/>
    <mergeCell ref="C68:E68"/>
    <mergeCell ref="C34:E34"/>
    <mergeCell ref="D35:E35"/>
    <mergeCell ref="D36:E36"/>
    <mergeCell ref="D37:E37"/>
    <mergeCell ref="D38:E38"/>
    <mergeCell ref="D39:E39"/>
    <mergeCell ref="D40:E40"/>
    <mergeCell ref="D41:E41"/>
    <mergeCell ref="D44:E44"/>
    <mergeCell ref="G42:G43"/>
    <mergeCell ref="H42:H43"/>
  </mergeCells>
  <pageMargins left="0.75" right="0.5" top="0.5" bottom="0.75" header="0" footer="0.5"/>
  <pageSetup scale="79" fitToHeight="2" orientation="portrait" verticalDpi="1200" r:id="rId1"/>
  <headerFooter alignWithMargins="0">
    <oddFooter>&amp;C&amp;A&amp;R&amp;D &amp;T</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47"/>
  <dimension ref="A1:B62"/>
  <sheetViews>
    <sheetView workbookViewId="0"/>
  </sheetViews>
  <sheetFormatPr defaultRowHeight="12.75"/>
  <cols>
    <col min="1" max="1" width="30.42578125" style="1066" customWidth="1"/>
    <col min="2" max="2" width="99.28515625" style="839" customWidth="1"/>
    <col min="3" max="16384" width="9.140625" style="100"/>
  </cols>
  <sheetData>
    <row r="1" spans="1:2">
      <c r="A1" s="822" t="s">
        <v>159</v>
      </c>
      <c r="B1" s="1066" t="s">
        <v>1828</v>
      </c>
    </row>
    <row r="2" spans="1:2">
      <c r="A2" s="823" t="s">
        <v>1606</v>
      </c>
      <c r="B2" s="838" t="s">
        <v>2676</v>
      </c>
    </row>
    <row r="3" spans="1:2">
      <c r="A3" s="823" t="s">
        <v>1829</v>
      </c>
      <c r="B3" s="838" t="s">
        <v>1859</v>
      </c>
    </row>
    <row r="4" spans="1:2" ht="25.5">
      <c r="A4" s="823" t="s">
        <v>1830</v>
      </c>
      <c r="B4" s="838" t="s">
        <v>1860</v>
      </c>
    </row>
    <row r="5" spans="1:2" ht="51">
      <c r="A5" s="823" t="s">
        <v>2857</v>
      </c>
      <c r="B5" s="838" t="s">
        <v>2858</v>
      </c>
    </row>
    <row r="6" spans="1:2" ht="25.5">
      <c r="A6" s="1066" t="s">
        <v>1831</v>
      </c>
      <c r="B6" s="839" t="s">
        <v>1861</v>
      </c>
    </row>
    <row r="7" spans="1:2">
      <c r="A7" s="823" t="s">
        <v>1832</v>
      </c>
      <c r="B7" s="838" t="s">
        <v>1862</v>
      </c>
    </row>
    <row r="8" spans="1:2" ht="127.5">
      <c r="A8" s="2264" t="s">
        <v>1833</v>
      </c>
      <c r="B8" s="840" t="s">
        <v>2887</v>
      </c>
    </row>
    <row r="9" spans="1:2" ht="63.75">
      <c r="A9" s="2265"/>
      <c r="B9" s="1479" t="s">
        <v>2719</v>
      </c>
    </row>
    <row r="10" spans="1:2" ht="38.25">
      <c r="A10" s="1066" t="s">
        <v>1834</v>
      </c>
      <c r="B10" s="839" t="s">
        <v>1863</v>
      </c>
    </row>
    <row r="11" spans="1:2" ht="25.5">
      <c r="A11" s="823" t="s">
        <v>1835</v>
      </c>
      <c r="B11" s="838" t="s">
        <v>1864</v>
      </c>
    </row>
    <row r="12" spans="1:2" ht="12.75" customHeight="1">
      <c r="A12" s="1066" t="s">
        <v>1836</v>
      </c>
      <c r="B12" s="839" t="s">
        <v>1865</v>
      </c>
    </row>
    <row r="13" spans="1:2" ht="25.5">
      <c r="A13" s="823" t="s">
        <v>2677</v>
      </c>
      <c r="B13" s="838" t="s">
        <v>2678</v>
      </c>
    </row>
    <row r="14" spans="1:2" ht="38.25">
      <c r="A14" s="1436" t="s">
        <v>2679</v>
      </c>
      <c r="B14" s="839" t="s">
        <v>2680</v>
      </c>
    </row>
    <row r="15" spans="1:2" ht="25.5">
      <c r="A15" s="823" t="s">
        <v>1453</v>
      </c>
      <c r="B15" s="838" t="s">
        <v>1866</v>
      </c>
    </row>
    <row r="16" spans="1:2">
      <c r="A16" s="1066" t="s">
        <v>1837</v>
      </c>
      <c r="B16" s="839" t="s">
        <v>1867</v>
      </c>
    </row>
    <row r="17" spans="1:2" ht="38.25">
      <c r="A17" s="823" t="s">
        <v>1838</v>
      </c>
      <c r="B17" s="838" t="s">
        <v>1868</v>
      </c>
    </row>
    <row r="18" spans="1:2">
      <c r="A18" s="1066" t="s">
        <v>1839</v>
      </c>
      <c r="B18" s="839" t="s">
        <v>1869</v>
      </c>
    </row>
    <row r="19" spans="1:2">
      <c r="A19" s="2266" t="s">
        <v>1007</v>
      </c>
      <c r="B19" s="840" t="s">
        <v>1870</v>
      </c>
    </row>
    <row r="20" spans="1:2" ht="12.75" customHeight="1">
      <c r="A20" s="2267"/>
      <c r="B20" s="841" t="s">
        <v>1824</v>
      </c>
    </row>
    <row r="21" spans="1:2" ht="25.5">
      <c r="A21" s="2266" t="s">
        <v>2860</v>
      </c>
      <c r="B21" s="840" t="s">
        <v>2859</v>
      </c>
    </row>
    <row r="22" spans="1:2" ht="12.75" customHeight="1">
      <c r="A22" s="2269"/>
      <c r="B22" s="1451" t="s">
        <v>2864</v>
      </c>
    </row>
    <row r="23" spans="1:2" ht="12.75" customHeight="1">
      <c r="A23" s="2269"/>
      <c r="B23" s="1451" t="s">
        <v>2863</v>
      </c>
    </row>
    <row r="24" spans="1:2" ht="12.75" customHeight="1">
      <c r="A24" s="2269"/>
      <c r="B24" s="1451" t="s">
        <v>2862</v>
      </c>
    </row>
    <row r="25" spans="1:2" ht="12.75" customHeight="1">
      <c r="A25" s="2267"/>
      <c r="B25" s="841" t="s">
        <v>2861</v>
      </c>
    </row>
    <row r="26" spans="1:2">
      <c r="A26" s="1066" t="s">
        <v>1840</v>
      </c>
      <c r="B26" s="839" t="s">
        <v>1871</v>
      </c>
    </row>
    <row r="27" spans="1:2">
      <c r="A27" s="823" t="s">
        <v>2077</v>
      </c>
      <c r="B27" s="838" t="s">
        <v>2256</v>
      </c>
    </row>
    <row r="28" spans="1:2">
      <c r="A28" s="823" t="s">
        <v>1841</v>
      </c>
      <c r="B28" s="838" t="s">
        <v>1872</v>
      </c>
    </row>
    <row r="29" spans="1:2">
      <c r="A29" s="2266" t="s">
        <v>1804</v>
      </c>
      <c r="B29" s="839" t="s">
        <v>1873</v>
      </c>
    </row>
    <row r="30" spans="1:2" ht="12.75" customHeight="1">
      <c r="A30" s="2268"/>
      <c r="B30" s="839" t="s">
        <v>1825</v>
      </c>
    </row>
    <row r="31" spans="1:2">
      <c r="A31" s="2268"/>
      <c r="B31" s="839" t="s">
        <v>1826</v>
      </c>
    </row>
    <row r="32" spans="1:2">
      <c r="A32" s="2267"/>
      <c r="B32" s="839" t="s">
        <v>2686</v>
      </c>
    </row>
    <row r="33" spans="1:2">
      <c r="A33" s="823" t="s">
        <v>1842</v>
      </c>
      <c r="B33" s="838" t="s">
        <v>1874</v>
      </c>
    </row>
    <row r="34" spans="1:2" ht="25.5">
      <c r="A34" s="823" t="s">
        <v>1893</v>
      </c>
      <c r="B34" s="838" t="s">
        <v>1875</v>
      </c>
    </row>
    <row r="35" spans="1:2" ht="25.5">
      <c r="A35" s="823" t="s">
        <v>2865</v>
      </c>
      <c r="B35" s="838" t="s">
        <v>2866</v>
      </c>
    </row>
    <row r="36" spans="1:2">
      <c r="A36" s="823" t="s">
        <v>1843</v>
      </c>
      <c r="B36" s="838" t="s">
        <v>1876</v>
      </c>
    </row>
    <row r="37" spans="1:2" ht="38.25">
      <c r="A37" s="823" t="s">
        <v>1915</v>
      </c>
      <c r="B37" s="838" t="s">
        <v>1916</v>
      </c>
    </row>
    <row r="38" spans="1:2">
      <c r="A38" s="823" t="s">
        <v>1844</v>
      </c>
      <c r="B38" s="838" t="s">
        <v>1877</v>
      </c>
    </row>
    <row r="39" spans="1:2" ht="25.5">
      <c r="A39" s="823" t="s">
        <v>1845</v>
      </c>
      <c r="B39" s="838" t="s">
        <v>1878</v>
      </c>
    </row>
    <row r="40" spans="1:2">
      <c r="A40" s="1066" t="s">
        <v>1649</v>
      </c>
      <c r="B40" s="839" t="s">
        <v>1879</v>
      </c>
    </row>
    <row r="41" spans="1:2" ht="51">
      <c r="A41" s="823" t="s">
        <v>2681</v>
      </c>
      <c r="B41" s="838" t="s">
        <v>1882</v>
      </c>
    </row>
    <row r="42" spans="1:2" ht="25.5">
      <c r="A42" s="823" t="s">
        <v>1846</v>
      </c>
      <c r="B42" s="838" t="s">
        <v>1860</v>
      </c>
    </row>
    <row r="43" spans="1:2">
      <c r="A43" s="2266" t="s">
        <v>1847</v>
      </c>
      <c r="B43" s="839" t="s">
        <v>1880</v>
      </c>
    </row>
    <row r="44" spans="1:2">
      <c r="A44" s="2267"/>
      <c r="B44" s="839" t="s">
        <v>1827</v>
      </c>
    </row>
    <row r="45" spans="1:2">
      <c r="A45" s="823" t="s">
        <v>1848</v>
      </c>
      <c r="B45" s="838" t="s">
        <v>1881</v>
      </c>
    </row>
    <row r="46" spans="1:2" ht="51">
      <c r="A46" s="823" t="s">
        <v>1849</v>
      </c>
      <c r="B46" s="838" t="s">
        <v>2867</v>
      </c>
    </row>
    <row r="47" spans="1:2">
      <c r="A47" s="823" t="s">
        <v>1850</v>
      </c>
      <c r="B47" s="838" t="s">
        <v>1883</v>
      </c>
    </row>
    <row r="48" spans="1:2">
      <c r="A48" s="1066" t="s">
        <v>1851</v>
      </c>
      <c r="B48" s="839" t="s">
        <v>1884</v>
      </c>
    </row>
    <row r="49" spans="1:2" ht="25.5">
      <c r="A49" s="823" t="s">
        <v>1852</v>
      </c>
      <c r="B49" s="838" t="s">
        <v>1885</v>
      </c>
    </row>
    <row r="50" spans="1:2" ht="25.5">
      <c r="A50" s="1450" t="s">
        <v>2682</v>
      </c>
      <c r="B50" s="1451" t="s">
        <v>2683</v>
      </c>
    </row>
    <row r="51" spans="1:2" ht="63.75">
      <c r="A51" s="823" t="s">
        <v>1853</v>
      </c>
      <c r="B51" s="838" t="s">
        <v>2684</v>
      </c>
    </row>
    <row r="52" spans="1:2" ht="38.25">
      <c r="A52" s="823" t="s">
        <v>2868</v>
      </c>
      <c r="B52" s="838" t="s">
        <v>2869</v>
      </c>
    </row>
    <row r="53" spans="1:2">
      <c r="A53" s="823" t="s">
        <v>1595</v>
      </c>
      <c r="B53" s="838" t="s">
        <v>1886</v>
      </c>
    </row>
    <row r="54" spans="1:2">
      <c r="A54" s="1066" t="s">
        <v>1854</v>
      </c>
      <c r="B54" s="839" t="s">
        <v>1887</v>
      </c>
    </row>
    <row r="55" spans="1:2">
      <c r="A55" s="823" t="s">
        <v>1855</v>
      </c>
      <c r="B55" s="838" t="s">
        <v>1888</v>
      </c>
    </row>
    <row r="56" spans="1:2" ht="25.5">
      <c r="A56" s="1066" t="s">
        <v>1856</v>
      </c>
      <c r="B56" s="839" t="s">
        <v>1889</v>
      </c>
    </row>
    <row r="57" spans="1:2" ht="12.75" customHeight="1">
      <c r="A57" s="823" t="s">
        <v>417</v>
      </c>
      <c r="B57" s="838" t="s">
        <v>1890</v>
      </c>
    </row>
    <row r="58" spans="1:2" ht="12.75" customHeight="1">
      <c r="A58" s="1450" t="s">
        <v>2872</v>
      </c>
      <c r="B58" s="1451" t="s">
        <v>2873</v>
      </c>
    </row>
    <row r="59" spans="1:2">
      <c r="A59" s="1066" t="s">
        <v>1857</v>
      </c>
      <c r="B59" s="839" t="s">
        <v>1891</v>
      </c>
    </row>
    <row r="60" spans="1:2" ht="25.5">
      <c r="A60" s="823" t="s">
        <v>1858</v>
      </c>
      <c r="B60" s="838" t="s">
        <v>1892</v>
      </c>
    </row>
    <row r="61" spans="1:2" ht="63.75">
      <c r="A61" s="823" t="s">
        <v>2685</v>
      </c>
      <c r="B61" s="838" t="s">
        <v>2731</v>
      </c>
    </row>
    <row r="62" spans="1:2" ht="12.75" customHeight="1">
      <c r="A62" s="1066" t="s">
        <v>2870</v>
      </c>
      <c r="B62" s="839" t="s">
        <v>2871</v>
      </c>
    </row>
  </sheetData>
  <sheetProtection algorithmName="SHA-512" hashValue="WIgm76jFDUmHWh1IXuWm62lnsF6gNCTGSjOTmDH1z7nVpf3q0tcxtTs1XI76RkrKRUzWiXSK0jyjXJDNlfTaMw==" saltValue="4oRnOQLYEj7PtI/xfCD2vQ==" spinCount="100000" sheet="1" objects="1" scenarios="1"/>
  <mergeCells count="5">
    <mergeCell ref="A8:A9"/>
    <mergeCell ref="A19:A20"/>
    <mergeCell ref="A29:A32"/>
    <mergeCell ref="A43:A44"/>
    <mergeCell ref="A21:A25"/>
  </mergeCells>
  <pageMargins left="0.75" right="0.5" top="1" bottom="0.75" header="0" footer="0.5"/>
  <pageSetup scale="90" fitToHeight="2" orientation="landscape" r:id="rId1"/>
  <headerFooter alignWithMargins="0">
    <oddFooter>&amp;C&amp;A&amp;R&amp;D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9">
    <pageSetUpPr fitToPage="1"/>
  </sheetPr>
  <dimension ref="A1:W30"/>
  <sheetViews>
    <sheetView workbookViewId="0"/>
  </sheetViews>
  <sheetFormatPr defaultRowHeight="12.75"/>
  <cols>
    <col min="1" max="1" width="4.7109375" style="1247" customWidth="1"/>
    <col min="2" max="3" width="2.7109375" style="1247" customWidth="1"/>
    <col min="4" max="4" width="16.7109375" style="1247" customWidth="1"/>
    <col min="5" max="5" width="17.5703125" style="1247" customWidth="1"/>
    <col min="6" max="6" width="1.7109375" style="1247" customWidth="1"/>
    <col min="7" max="7" width="8.7109375" style="1247" customWidth="1"/>
    <col min="8" max="8" width="1.7109375" style="1247" customWidth="1"/>
    <col min="9" max="9" width="5.7109375" style="1247" customWidth="1"/>
    <col min="10" max="10" width="1.7109375" style="1247" customWidth="1"/>
    <col min="11" max="11" width="8.7109375" style="1247" customWidth="1"/>
    <col min="12" max="12" width="7.85546875" style="1247" customWidth="1"/>
    <col min="13" max="13" width="1.7109375" style="1247" customWidth="1"/>
    <col min="14" max="14" width="3.7109375" style="1247" customWidth="1"/>
    <col min="15" max="15" width="8.7109375" style="1247" customWidth="1"/>
    <col min="16" max="16" width="1.7109375" style="1247" customWidth="1"/>
    <col min="17" max="17" width="8.7109375" style="1247" customWidth="1"/>
    <col min="18" max="18" width="1.7109375" style="1247" customWidth="1"/>
    <col min="19" max="19" width="10.7109375" style="1247" customWidth="1"/>
    <col min="20" max="20" width="9.140625" style="1247"/>
    <col min="21" max="21" width="5.7109375" style="1248" customWidth="1"/>
    <col min="22" max="22" width="11.85546875" style="1243" hidden="1" customWidth="1"/>
    <col min="23" max="23" width="5.7109375" style="1248" customWidth="1"/>
    <col min="24" max="16384" width="9.140625" style="1247"/>
  </cols>
  <sheetData>
    <row r="1" spans="1:23" s="40" customFormat="1">
      <c r="A1" s="1302" t="str">
        <f>IF('FORM 1040-1'!D15="","",'FORM 1040-1'!D15)</f>
        <v/>
      </c>
      <c r="B1" s="1302"/>
      <c r="C1" s="1302"/>
      <c r="D1" s="1302"/>
      <c r="E1" s="1302"/>
      <c r="F1" s="1302"/>
      <c r="G1" s="1302"/>
      <c r="H1" s="1302"/>
      <c r="I1" s="1302"/>
      <c r="J1" s="1302"/>
      <c r="K1" s="1302"/>
      <c r="L1" s="1302"/>
      <c r="M1" s="1302"/>
      <c r="N1" s="1302"/>
      <c r="O1" s="1302"/>
      <c r="P1" s="1302"/>
      <c r="Q1" s="1302"/>
      <c r="R1" s="1302"/>
      <c r="S1" s="1294" t="str">
        <f>IF('FORM 1040-1'!$E$12="","",'FORM 1040-1'!$E$12)</f>
        <v/>
      </c>
      <c r="U1" s="41"/>
      <c r="V1" s="293" t="b">
        <v>1</v>
      </c>
      <c r="W1" s="41"/>
    </row>
    <row r="2" spans="1:23" s="40" customFormat="1">
      <c r="R2" s="824"/>
      <c r="U2" s="41"/>
      <c r="V2" s="293" t="b">
        <v>0</v>
      </c>
      <c r="W2" s="41"/>
    </row>
    <row r="3" spans="1:23" s="1229" customFormat="1" ht="39" customHeight="1">
      <c r="A3" s="1680" t="s">
        <v>2242</v>
      </c>
      <c r="B3" s="1680"/>
      <c r="C3" s="1680"/>
      <c r="D3" s="1680"/>
      <c r="E3" s="1680"/>
      <c r="F3" s="1680"/>
      <c r="G3" s="1680"/>
      <c r="H3" s="1680"/>
      <c r="I3" s="1680"/>
      <c r="J3" s="1680"/>
      <c r="K3" s="1680"/>
      <c r="L3" s="1680"/>
      <c r="M3" s="1680"/>
      <c r="N3" s="1680"/>
      <c r="O3" s="1680"/>
      <c r="P3" s="1680"/>
      <c r="Q3" s="1680"/>
      <c r="R3" s="1680"/>
      <c r="S3" s="1680"/>
      <c r="U3" s="6"/>
      <c r="V3" s="1231"/>
      <c r="W3" s="6"/>
    </row>
    <row r="4" spans="1:23" s="1229" customFormat="1" ht="12.95" customHeight="1">
      <c r="U4" s="6"/>
      <c r="V4" s="1243"/>
      <c r="W4" s="6"/>
    </row>
    <row r="5" spans="1:23" s="1229" customFormat="1" ht="15" customHeight="1">
      <c r="A5" s="1231" t="s">
        <v>47</v>
      </c>
      <c r="B5" s="1603" t="s">
        <v>2193</v>
      </c>
      <c r="C5" s="1603"/>
      <c r="D5" s="1603"/>
      <c r="E5" s="1603"/>
      <c r="F5" s="1603"/>
      <c r="G5" s="1603"/>
      <c r="H5" s="1603"/>
      <c r="I5" s="1603"/>
      <c r="J5" s="1603"/>
      <c r="K5" s="1603"/>
      <c r="L5" s="1603"/>
      <c r="M5" s="1603"/>
      <c r="N5" s="1603"/>
      <c r="O5" s="1603"/>
      <c r="P5" s="1603"/>
      <c r="Q5" s="1603"/>
      <c r="R5" s="1603"/>
      <c r="S5" s="1603"/>
      <c r="U5" s="6"/>
      <c r="V5" s="1243"/>
      <c r="W5" s="6"/>
    </row>
    <row r="6" spans="1:23" s="1329" customFormat="1" ht="9.9499999999999993" customHeight="1">
      <c r="A6" s="1327"/>
      <c r="U6" s="6"/>
      <c r="V6" s="1243"/>
      <c r="W6" s="6"/>
    </row>
    <row r="7" spans="1:23" s="40" customFormat="1" ht="15" customHeight="1">
      <c r="A7" s="1244" t="s">
        <v>101</v>
      </c>
      <c r="B7" s="1598" t="s">
        <v>2034</v>
      </c>
      <c r="C7" s="1598"/>
      <c r="D7" s="1598"/>
      <c r="E7" s="1598"/>
      <c r="F7" s="1598"/>
      <c r="G7" s="1598"/>
      <c r="H7" s="1598"/>
      <c r="I7" s="1598"/>
      <c r="J7" s="1598"/>
      <c r="K7" s="1598"/>
      <c r="L7" s="1598"/>
      <c r="M7" s="1598"/>
      <c r="N7" s="1598"/>
      <c r="O7" s="1598"/>
      <c r="P7" s="1598"/>
      <c r="Q7" s="1598"/>
      <c r="R7" s="1598"/>
      <c r="S7" s="1598"/>
      <c r="U7" s="41"/>
      <c r="V7" s="1245"/>
      <c r="W7" s="41"/>
    </row>
    <row r="8" spans="1:23" s="40" customFormat="1" ht="9.9499999999999993" customHeight="1">
      <c r="A8" s="1244"/>
      <c r="B8" s="1328"/>
      <c r="C8" s="1328"/>
      <c r="D8" s="1328"/>
      <c r="E8" s="1328"/>
      <c r="F8" s="1328"/>
      <c r="G8" s="1328"/>
      <c r="H8" s="1328"/>
      <c r="I8" s="1328"/>
      <c r="J8" s="1328"/>
      <c r="K8" s="1328"/>
      <c r="L8" s="1328"/>
      <c r="M8" s="1328"/>
      <c r="N8" s="1328"/>
      <c r="O8" s="1328"/>
      <c r="P8" s="1328"/>
      <c r="Q8" s="1328"/>
      <c r="R8" s="1328"/>
      <c r="S8" s="1328"/>
      <c r="U8" s="41"/>
      <c r="V8" s="1245"/>
      <c r="W8" s="41"/>
    </row>
    <row r="9" spans="1:23" ht="39" customHeight="1">
      <c r="A9" s="1246"/>
      <c r="B9" s="1679" t="s">
        <v>2243</v>
      </c>
      <c r="C9" s="1679"/>
      <c r="D9" s="1679"/>
      <c r="E9" s="1679"/>
      <c r="F9" s="1679"/>
      <c r="G9" s="1679"/>
      <c r="H9" s="1679"/>
      <c r="I9" s="1679"/>
      <c r="J9" s="1679"/>
      <c r="K9" s="1679"/>
      <c r="L9" s="1679"/>
      <c r="M9" s="1679"/>
      <c r="N9" s="1679"/>
      <c r="O9" s="1679"/>
      <c r="P9" s="1679"/>
      <c r="Q9" s="1679"/>
      <c r="R9" s="1679"/>
      <c r="S9" s="1679"/>
    </row>
    <row r="10" spans="1:23" ht="9.9499999999999993" customHeight="1">
      <c r="A10" s="1246"/>
      <c r="B10" s="1331"/>
      <c r="C10" s="1331"/>
      <c r="D10" s="1331"/>
      <c r="E10" s="1331"/>
      <c r="F10" s="1331"/>
      <c r="G10" s="1331"/>
      <c r="H10" s="1331"/>
      <c r="I10" s="1331"/>
      <c r="J10" s="1331"/>
      <c r="K10" s="1331"/>
      <c r="L10" s="1331"/>
      <c r="M10" s="1331"/>
      <c r="N10" s="1331"/>
      <c r="O10" s="1331"/>
      <c r="P10" s="1331"/>
      <c r="Q10" s="1331"/>
      <c r="R10" s="1331"/>
      <c r="S10" s="1331"/>
    </row>
    <row r="11" spans="1:23" ht="26.1" customHeight="1">
      <c r="A11" s="1246"/>
      <c r="B11" s="1679" t="s">
        <v>2040</v>
      </c>
      <c r="C11" s="1679"/>
      <c r="D11" s="1679"/>
      <c r="E11" s="1679"/>
      <c r="F11" s="1679"/>
      <c r="G11" s="1679"/>
      <c r="H11" s="1679"/>
      <c r="I11" s="1679"/>
      <c r="J11" s="1679"/>
      <c r="K11" s="1679"/>
      <c r="L11" s="1679"/>
      <c r="M11" s="1679"/>
      <c r="N11" s="1679"/>
      <c r="O11" s="1679"/>
      <c r="P11" s="1679"/>
      <c r="Q11" s="1679"/>
      <c r="R11" s="1679"/>
      <c r="S11" s="1679"/>
    </row>
    <row r="12" spans="1:23" ht="9.9499999999999993" customHeight="1">
      <c r="A12" s="1246"/>
      <c r="B12" s="1232"/>
      <c r="C12" s="1232"/>
      <c r="D12" s="1232"/>
      <c r="E12" s="1232"/>
      <c r="F12" s="1232"/>
      <c r="G12" s="1232"/>
      <c r="H12" s="1232"/>
      <c r="I12" s="1232"/>
      <c r="J12" s="1232"/>
      <c r="K12" s="1232"/>
      <c r="L12" s="1232"/>
      <c r="M12" s="1232"/>
      <c r="N12" s="1232"/>
      <c r="O12" s="1232"/>
      <c r="P12" s="1232"/>
      <c r="Q12" s="1232"/>
      <c r="R12" s="1232"/>
      <c r="S12" s="1232"/>
    </row>
    <row r="13" spans="1:23" ht="53.1" customHeight="1" thickBot="1">
      <c r="A13" s="1246"/>
      <c r="B13" s="1249" t="s">
        <v>2036</v>
      </c>
      <c r="C13" s="1681" t="s">
        <v>2220</v>
      </c>
      <c r="D13" s="1681"/>
      <c r="E13" s="1681"/>
      <c r="F13" s="1681"/>
      <c r="G13" s="1681"/>
      <c r="H13" s="1681"/>
      <c r="I13" s="1681"/>
      <c r="J13" s="1681"/>
      <c r="K13" s="1681"/>
      <c r="L13" s="1681"/>
      <c r="M13" s="1681"/>
      <c r="N13" s="1681"/>
      <c r="O13" s="1681"/>
      <c r="P13" s="1681"/>
      <c r="Q13" s="1681"/>
      <c r="R13" s="1681"/>
      <c r="S13" s="1228"/>
    </row>
    <row r="14" spans="1:23" ht="9.9499999999999993" customHeight="1" thickTop="1">
      <c r="A14" s="1246"/>
      <c r="B14" s="1249"/>
      <c r="C14" s="1332"/>
      <c r="D14" s="1332"/>
      <c r="E14" s="1332"/>
      <c r="F14" s="1332"/>
      <c r="G14" s="1332"/>
      <c r="H14" s="1332"/>
      <c r="I14" s="1332"/>
      <c r="J14" s="1332"/>
      <c r="K14" s="1332"/>
      <c r="L14" s="1332"/>
      <c r="M14" s="1332"/>
      <c r="N14" s="1332"/>
      <c r="O14" s="1332"/>
      <c r="P14" s="1332"/>
      <c r="Q14" s="1332"/>
      <c r="R14" s="1332"/>
    </row>
    <row r="15" spans="1:23" s="1252" customFormat="1" ht="15" customHeight="1">
      <c r="A15" s="1250"/>
      <c r="B15" s="1251"/>
      <c r="C15" s="1682" t="s">
        <v>798</v>
      </c>
      <c r="D15" s="1683"/>
      <c r="E15" s="1683"/>
      <c r="F15" s="1683"/>
      <c r="G15" s="1683"/>
      <c r="H15" s="1683"/>
      <c r="I15" s="1683"/>
      <c r="J15" s="1683"/>
      <c r="K15" s="1683"/>
      <c r="L15" s="1683"/>
      <c r="M15" s="1683"/>
      <c r="N15" s="1683"/>
      <c r="O15" s="1683"/>
      <c r="P15" s="1683"/>
      <c r="Q15" s="1683"/>
      <c r="R15" s="1683"/>
      <c r="S15" s="1246"/>
      <c r="U15" s="1248"/>
      <c r="V15" s="1243"/>
      <c r="W15" s="1248"/>
    </row>
    <row r="16" spans="1:23" s="1252" customFormat="1" ht="9.9499999999999993" customHeight="1">
      <c r="A16" s="1250"/>
      <c r="B16" s="1251"/>
      <c r="C16" s="1353"/>
      <c r="D16" s="1330"/>
      <c r="E16" s="1330"/>
      <c r="F16" s="1330"/>
      <c r="G16" s="1330"/>
      <c r="H16" s="1330"/>
      <c r="I16" s="1330"/>
      <c r="J16" s="1330"/>
      <c r="K16" s="1330"/>
      <c r="L16" s="1330"/>
      <c r="M16" s="1330"/>
      <c r="N16" s="1330"/>
      <c r="O16" s="1330"/>
      <c r="P16" s="1330"/>
      <c r="Q16" s="1330"/>
      <c r="R16" s="1330"/>
      <c r="S16" s="1250"/>
      <c r="U16" s="1248"/>
      <c r="V16" s="1243"/>
      <c r="W16" s="1248"/>
    </row>
    <row r="17" spans="1:19" ht="39" customHeight="1" thickBot="1">
      <c r="A17" s="1246"/>
      <c r="B17" s="1249" t="s">
        <v>2036</v>
      </c>
      <c r="C17" s="1679" t="s">
        <v>2037</v>
      </c>
      <c r="D17" s="1679"/>
      <c r="E17" s="1679"/>
      <c r="F17" s="1679"/>
      <c r="G17" s="1679"/>
      <c r="H17" s="1679"/>
      <c r="I17" s="1679"/>
      <c r="J17" s="1679"/>
      <c r="K17" s="1679"/>
      <c r="L17" s="1679"/>
      <c r="M17" s="1679"/>
      <c r="N17" s="1679"/>
      <c r="O17" s="1679"/>
      <c r="P17" s="1679"/>
      <c r="Q17" s="1679"/>
      <c r="R17" s="1679"/>
      <c r="S17" s="1228"/>
    </row>
    <row r="18" spans="1:19" ht="9.9499999999999993" customHeight="1" thickTop="1">
      <c r="A18" s="1246"/>
      <c r="B18" s="1249"/>
      <c r="C18" s="1331"/>
      <c r="D18" s="1331"/>
      <c r="E18" s="1331"/>
      <c r="F18" s="1331"/>
      <c r="G18" s="1331"/>
      <c r="H18" s="1331"/>
      <c r="I18" s="1331"/>
      <c r="J18" s="1331"/>
      <c r="K18" s="1331"/>
      <c r="L18" s="1331"/>
      <c r="M18" s="1331"/>
      <c r="N18" s="1331"/>
      <c r="O18" s="1331"/>
      <c r="P18" s="1331"/>
      <c r="Q18" s="1331"/>
      <c r="R18" s="1331"/>
    </row>
    <row r="19" spans="1:19" ht="15" customHeight="1">
      <c r="A19" s="1246"/>
      <c r="B19" s="1249"/>
      <c r="C19" s="1684" t="s">
        <v>2038</v>
      </c>
      <c r="D19" s="1684"/>
      <c r="E19" s="1684"/>
      <c r="F19" s="1684"/>
      <c r="G19" s="1684"/>
      <c r="H19" s="1684"/>
      <c r="I19" s="1684"/>
      <c r="J19" s="1684"/>
      <c r="K19" s="1684"/>
      <c r="L19" s="1684"/>
      <c r="M19" s="1684"/>
      <c r="N19" s="1684"/>
      <c r="O19" s="1684"/>
      <c r="P19" s="1684"/>
      <c r="Q19" s="1684"/>
      <c r="R19" s="1684"/>
      <c r="S19" s="1246"/>
    </row>
    <row r="20" spans="1:19" ht="9.9499999999999993" customHeight="1">
      <c r="A20" s="1246"/>
      <c r="B20" s="1249"/>
      <c r="C20" s="1333"/>
      <c r="D20" s="1333"/>
      <c r="E20" s="1333"/>
      <c r="F20" s="1333"/>
      <c r="G20" s="1333"/>
      <c r="H20" s="1333"/>
      <c r="I20" s="1333"/>
      <c r="J20" s="1333"/>
      <c r="K20" s="1333"/>
      <c r="L20" s="1333"/>
      <c r="M20" s="1333"/>
      <c r="N20" s="1333"/>
      <c r="O20" s="1333"/>
      <c r="P20" s="1333"/>
      <c r="Q20" s="1333"/>
      <c r="R20" s="1333"/>
      <c r="S20" s="1246"/>
    </row>
    <row r="21" spans="1:19" ht="39" customHeight="1">
      <c r="A21" s="1246"/>
      <c r="B21" s="1246"/>
      <c r="C21" s="1249" t="s">
        <v>2036</v>
      </c>
      <c r="D21" s="1679" t="s">
        <v>2408</v>
      </c>
      <c r="E21" s="1679"/>
      <c r="F21" s="1679"/>
      <c r="G21" s="1679"/>
      <c r="H21" s="1679"/>
      <c r="I21" s="1679"/>
      <c r="J21" s="1679"/>
      <c r="K21" s="1679"/>
      <c r="L21" s="1679"/>
      <c r="M21" s="1679"/>
      <c r="N21" s="1679"/>
      <c r="O21" s="1679"/>
      <c r="P21" s="1679"/>
      <c r="Q21" s="1679"/>
      <c r="R21" s="1679"/>
      <c r="S21" s="1679"/>
    </row>
    <row r="22" spans="1:19" ht="9.9499999999999993" customHeight="1">
      <c r="A22" s="1246"/>
      <c r="B22" s="1246"/>
      <c r="C22" s="1249"/>
      <c r="D22" s="1331"/>
      <c r="E22" s="1331"/>
      <c r="F22" s="1331"/>
      <c r="G22" s="1331"/>
      <c r="H22" s="1331"/>
      <c r="I22" s="1331"/>
      <c r="J22" s="1331"/>
      <c r="K22" s="1331"/>
      <c r="L22" s="1331"/>
      <c r="M22" s="1331"/>
      <c r="N22" s="1331"/>
      <c r="O22" s="1331"/>
      <c r="P22" s="1331"/>
      <c r="Q22" s="1331"/>
      <c r="R22" s="1331"/>
      <c r="S22" s="1331"/>
    </row>
    <row r="23" spans="1:19" ht="26.1" customHeight="1">
      <c r="A23" s="1246"/>
      <c r="B23" s="1246"/>
      <c r="C23" s="1249" t="s">
        <v>2036</v>
      </c>
      <c r="D23" s="1679" t="s">
        <v>2039</v>
      </c>
      <c r="E23" s="1679"/>
      <c r="F23" s="1679"/>
      <c r="G23" s="1679"/>
      <c r="H23" s="1679"/>
      <c r="I23" s="1679"/>
      <c r="J23" s="1679"/>
      <c r="K23" s="1679"/>
      <c r="L23" s="1679"/>
      <c r="M23" s="1679"/>
      <c r="N23" s="1679"/>
      <c r="O23" s="1679"/>
      <c r="P23" s="1679"/>
      <c r="Q23" s="1679"/>
      <c r="R23" s="1679"/>
      <c r="S23" s="1679"/>
    </row>
    <row r="24" spans="1:19">
      <c r="D24" s="1656"/>
      <c r="E24" s="1656"/>
      <c r="F24" s="1656"/>
      <c r="G24" s="1656"/>
      <c r="H24" s="1656"/>
      <c r="I24" s="1656"/>
      <c r="J24" s="1656"/>
      <c r="K24" s="1656"/>
      <c r="L24" s="1656"/>
      <c r="M24" s="1656"/>
      <c r="N24" s="1656"/>
      <c r="O24" s="1656"/>
      <c r="P24" s="1656"/>
      <c r="Q24" s="1656"/>
      <c r="R24" s="1656"/>
    </row>
    <row r="25" spans="1:19">
      <c r="D25" s="1656"/>
      <c r="E25" s="1656"/>
      <c r="F25" s="1656"/>
      <c r="G25" s="1656"/>
      <c r="H25" s="1656"/>
      <c r="I25" s="1656"/>
      <c r="J25" s="1656"/>
      <c r="K25" s="1656"/>
      <c r="L25" s="1656"/>
      <c r="M25" s="1656"/>
      <c r="N25" s="1656"/>
      <c r="O25" s="1656"/>
      <c r="P25" s="1656"/>
      <c r="Q25" s="1656"/>
      <c r="R25" s="1656"/>
    </row>
    <row r="30" spans="1:19">
      <c r="A30" s="1653" t="s">
        <v>1792</v>
      </c>
      <c r="B30" s="1653"/>
      <c r="C30" s="1653"/>
      <c r="D30" s="1653"/>
      <c r="E30" s="1653"/>
      <c r="F30" s="1653"/>
      <c r="G30" s="1653"/>
      <c r="H30" s="1653"/>
      <c r="I30" s="1653"/>
      <c r="J30" s="1653"/>
      <c r="K30" s="1653"/>
      <c r="L30" s="1653"/>
      <c r="M30" s="1653"/>
      <c r="N30" s="1653"/>
      <c r="O30" s="1653"/>
      <c r="P30" s="1653"/>
      <c r="Q30" s="1653"/>
      <c r="R30" s="1653"/>
      <c r="S30" s="1653"/>
    </row>
  </sheetData>
  <sheetProtection algorithmName="SHA-512" hashValue="V7ELAYkpnCQizXGuDz0xhBNlWn+shdljHjQ13HfgVp/cvmrihiyCku+gy0KVFoQiddTXQ1ouJ2UH2D3nhVr9RQ==" saltValue="zKWfOk1tLhYPS/CnPwTGDw==" spinCount="100000" sheet="1" objects="1" scenarios="1"/>
  <mergeCells count="14">
    <mergeCell ref="A30:S30"/>
    <mergeCell ref="C17:R17"/>
    <mergeCell ref="A3:S3"/>
    <mergeCell ref="B5:S5"/>
    <mergeCell ref="B7:S7"/>
    <mergeCell ref="B9:S9"/>
    <mergeCell ref="B11:S11"/>
    <mergeCell ref="C13:R13"/>
    <mergeCell ref="C15:R15"/>
    <mergeCell ref="C19:R19"/>
    <mergeCell ref="D21:S21"/>
    <mergeCell ref="D23:S23"/>
    <mergeCell ref="D24:R24"/>
    <mergeCell ref="D25:R25"/>
  </mergeCells>
  <dataValidations count="1">
    <dataValidation type="list" allowBlank="1" showInputMessage="1" showErrorMessage="1" sqref="S17 S13" xr:uid="{00000000-0002-0000-0400-000000000000}">
      <formula1>$V$1:$V$2</formula1>
    </dataValidation>
  </dataValidations>
  <pageMargins left="0.75" right="0.5" top="0.5" bottom="0.75" header="0.3" footer="0.5"/>
  <pageSetup scale="80" orientation="portrait" verticalDpi="0" r:id="rId1"/>
  <headerFooter>
    <oddFooter>&amp;C&amp;A&amp;R&amp;D&amp;T</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30">
    <pageSetUpPr fitToPage="1"/>
  </sheetPr>
  <dimension ref="A1:F62"/>
  <sheetViews>
    <sheetView workbookViewId="0">
      <selection sqref="A1:D1"/>
    </sheetView>
  </sheetViews>
  <sheetFormatPr defaultColWidth="11.42578125" defaultRowHeight="12.75"/>
  <cols>
    <col min="1" max="1" width="54" style="2" bestFit="1" customWidth="1"/>
    <col min="2" max="2" width="18.42578125" style="563" bestFit="1" customWidth="1"/>
    <col min="3" max="3" width="7.85546875" style="570" customWidth="1"/>
    <col min="4" max="4" width="25.7109375" style="567" customWidth="1"/>
    <col min="5" max="5" width="9.28515625" style="2" customWidth="1"/>
    <col min="6" max="6" width="10.7109375" style="2" customWidth="1"/>
    <col min="7" max="10" width="10.7109375" style="441" customWidth="1"/>
    <col min="11" max="16384" width="11.42578125" style="441"/>
  </cols>
  <sheetData>
    <row r="1" spans="1:6">
      <c r="A1" s="2270" t="s">
        <v>35</v>
      </c>
      <c r="B1" s="2270"/>
      <c r="C1" s="2270"/>
      <c r="D1" s="2270"/>
    </row>
    <row r="2" spans="1:6">
      <c r="A2" s="2270" t="s">
        <v>36</v>
      </c>
      <c r="B2" s="2270"/>
      <c r="C2" s="2270"/>
      <c r="D2" s="2270"/>
    </row>
    <row r="3" spans="1:6" ht="13.5" thickBot="1">
      <c r="A3" s="2270" t="s">
        <v>1547</v>
      </c>
      <c r="B3" s="2270"/>
      <c r="C3" s="2270"/>
      <c r="D3" s="2270"/>
    </row>
    <row r="4" spans="1:6" ht="13.5" thickBot="1">
      <c r="A4" s="561"/>
      <c r="B4" s="562"/>
      <c r="C4" s="2274" t="s">
        <v>1019</v>
      </c>
      <c r="D4" s="2275"/>
    </row>
    <row r="5" spans="1:6">
      <c r="A5" s="1063"/>
      <c r="B5" s="564" t="s">
        <v>1544</v>
      </c>
      <c r="C5" s="2276"/>
      <c r="D5" s="2277"/>
    </row>
    <row r="6" spans="1:6">
      <c r="A6" s="1063"/>
      <c r="B6" s="564" t="s">
        <v>1545</v>
      </c>
      <c r="C6" s="2278"/>
      <c r="D6" s="2272"/>
    </row>
    <row r="7" spans="1:6">
      <c r="A7" s="1063"/>
      <c r="B7" s="564" t="s">
        <v>1546</v>
      </c>
      <c r="C7" s="2271"/>
      <c r="D7" s="2272"/>
    </row>
    <row r="8" spans="1:6" ht="26.1" customHeight="1" thickBot="1">
      <c r="A8" s="1063"/>
      <c r="B8" s="1118" t="s">
        <v>1548</v>
      </c>
      <c r="C8" s="2279" t="str">
        <f>IF('FORM 1040-1'!E12="","",'FORM 1040-1'!E12)</f>
        <v/>
      </c>
      <c r="D8" s="2280"/>
    </row>
    <row r="9" spans="1:6" ht="12.75" customHeight="1">
      <c r="A9" s="1101"/>
      <c r="B9" s="1118"/>
      <c r="C9" s="568"/>
    </row>
    <row r="10" spans="1:6" ht="12.75" customHeight="1">
      <c r="A10" s="1063" t="s">
        <v>1516</v>
      </c>
      <c r="B10" s="565" t="str">
        <f>IF('FORM 1040-1'!D15="","",('FORM 1040-1'!D15))</f>
        <v/>
      </c>
      <c r="C10" s="566"/>
    </row>
    <row r="11" spans="1:6">
      <c r="A11" s="1063" t="s">
        <v>1517</v>
      </c>
      <c r="B11" s="569">
        <f>IF('FORM 1040-27'!L21="","",('FORM 1040-27'!L21))</f>
        <v>0</v>
      </c>
      <c r="C11" s="568"/>
    </row>
    <row r="12" spans="1:6">
      <c r="A12" s="1101"/>
      <c r="B12" s="569"/>
      <c r="C12" s="568"/>
    </row>
    <row r="13" spans="1:6">
      <c r="B13" s="456" t="s">
        <v>1518</v>
      </c>
      <c r="C13" s="2273" t="s">
        <v>1519</v>
      </c>
      <c r="D13" s="2273"/>
    </row>
    <row r="14" spans="1:6">
      <c r="A14" s="1063" t="s">
        <v>1520</v>
      </c>
      <c r="B14" s="456" t="s">
        <v>34</v>
      </c>
      <c r="C14" s="2273" t="s">
        <v>1521</v>
      </c>
      <c r="D14" s="2273"/>
      <c r="E14" s="441"/>
      <c r="F14" s="441"/>
    </row>
    <row r="15" spans="1:6">
      <c r="A15" s="2" t="s">
        <v>1522</v>
      </c>
      <c r="B15" s="636">
        <f>IF('FORM 1040-3'!D20="",0,('FORM 1040-3'!D20))</f>
        <v>0</v>
      </c>
      <c r="D15" s="567" t="e">
        <f t="shared" ref="D15:D56" si="0">+B15/$B$60</f>
        <v>#DIV/0!</v>
      </c>
      <c r="E15" s="441"/>
      <c r="F15" s="441"/>
    </row>
    <row r="16" spans="1:6">
      <c r="A16" s="2" t="s">
        <v>1523</v>
      </c>
      <c r="B16" s="636">
        <f>IF('FORM 1040-3'!D21="",0,('FORM 1040-3'!D21))</f>
        <v>0</v>
      </c>
      <c r="D16" s="567" t="e">
        <f t="shared" si="0"/>
        <v>#DIV/0!</v>
      </c>
      <c r="E16" s="441"/>
      <c r="F16" s="441"/>
    </row>
    <row r="17" spans="1:6">
      <c r="A17" s="2" t="s">
        <v>1524</v>
      </c>
      <c r="B17" s="636">
        <f>IF('FORM 1040-3'!D22="",0,('FORM 1040-3'!D22))</f>
        <v>0</v>
      </c>
      <c r="C17" s="570" t="e">
        <f>SUM(D15:D17)</f>
        <v>#DIV/0!</v>
      </c>
      <c r="D17" s="567" t="e">
        <f t="shared" si="0"/>
        <v>#DIV/0!</v>
      </c>
      <c r="E17" s="441"/>
      <c r="F17" s="441"/>
    </row>
    <row r="18" spans="1:6">
      <c r="A18" s="2" t="s">
        <v>1525</v>
      </c>
      <c r="B18" s="636">
        <f>IF('FORM 1040-3'!D23="",0,('FORM 1040-3'!D23))</f>
        <v>0</v>
      </c>
      <c r="D18" s="567" t="e">
        <f t="shared" si="0"/>
        <v>#DIV/0!</v>
      </c>
      <c r="E18" s="441"/>
      <c r="F18" s="441"/>
    </row>
    <row r="19" spans="1:6">
      <c r="A19" s="2" t="s">
        <v>1526</v>
      </c>
      <c r="B19" s="636">
        <f>IF('FORM 1040-3'!D24="",0,('FORM 1040-3'!D24))</f>
        <v>0</v>
      </c>
      <c r="D19" s="567" t="e">
        <f t="shared" si="0"/>
        <v>#DIV/0!</v>
      </c>
      <c r="E19" s="441"/>
      <c r="F19" s="441"/>
    </row>
    <row r="20" spans="1:6">
      <c r="A20" s="2" t="s">
        <v>1527</v>
      </c>
      <c r="B20" s="636">
        <f>IF('FORM 1040-3'!D25="",0,('FORM 1040-3'!D25))</f>
        <v>0</v>
      </c>
      <c r="D20" s="567" t="e">
        <f t="shared" si="0"/>
        <v>#DIV/0!</v>
      </c>
      <c r="E20" s="441"/>
      <c r="F20" s="441"/>
    </row>
    <row r="21" spans="1:6">
      <c r="A21" s="2" t="s">
        <v>1528</v>
      </c>
      <c r="B21" s="636">
        <f>IF('FORM 1040-3'!D26="",0,('FORM 1040-3'!D26))</f>
        <v>0</v>
      </c>
      <c r="C21" s="570" t="e">
        <f>SUM(D20:D21)</f>
        <v>#DIV/0!</v>
      </c>
      <c r="D21" s="567" t="e">
        <f t="shared" si="0"/>
        <v>#DIV/0!</v>
      </c>
      <c r="E21" s="441"/>
      <c r="F21" s="441"/>
    </row>
    <row r="22" spans="1:6">
      <c r="A22" s="2" t="s">
        <v>1529</v>
      </c>
      <c r="B22" s="636">
        <f>IF('FORM 1040-3'!D27="",0,('FORM 1040-3'!D27))</f>
        <v>0</v>
      </c>
      <c r="D22" s="567" t="e">
        <f t="shared" si="0"/>
        <v>#DIV/0!</v>
      </c>
      <c r="E22" s="441"/>
      <c r="F22" s="441"/>
    </row>
    <row r="23" spans="1:6">
      <c r="A23" s="2" t="s">
        <v>1530</v>
      </c>
      <c r="B23" s="636">
        <f>IF('FORM 1040-3'!D28="",0,('FORM 1040-3'!D28))</f>
        <v>0</v>
      </c>
      <c r="D23" s="567" t="e">
        <f t="shared" si="0"/>
        <v>#DIV/0!</v>
      </c>
      <c r="E23" s="441"/>
      <c r="F23" s="441"/>
    </row>
    <row r="24" spans="1:6">
      <c r="A24" s="2" t="s">
        <v>1531</v>
      </c>
      <c r="B24" s="636">
        <f>IF('FORM 1040-3'!D29="",0,('FORM 1040-3'!D29))</f>
        <v>0</v>
      </c>
      <c r="D24" s="567" t="e">
        <f t="shared" si="0"/>
        <v>#DIV/0!</v>
      </c>
      <c r="E24" s="441"/>
      <c r="F24" s="441"/>
    </row>
    <row r="25" spans="1:6">
      <c r="A25" s="2" t="s">
        <v>1532</v>
      </c>
      <c r="B25" s="636">
        <f>IF('FORM 1040-3'!D30="",0,('FORM 1040-3'!D30))</f>
        <v>0</v>
      </c>
      <c r="D25" s="567" t="e">
        <f t="shared" si="0"/>
        <v>#DIV/0!</v>
      </c>
      <c r="E25" s="441"/>
      <c r="F25" s="441"/>
    </row>
    <row r="26" spans="1:6">
      <c r="A26" s="2" t="s">
        <v>1533</v>
      </c>
      <c r="B26" s="636">
        <f>IF('FORM 1040-3'!D31="",0,('FORM 1040-3'!D31))</f>
        <v>0</v>
      </c>
      <c r="D26" s="567" t="e">
        <f t="shared" si="0"/>
        <v>#DIV/0!</v>
      </c>
      <c r="E26" s="441"/>
      <c r="F26" s="441"/>
    </row>
    <row r="27" spans="1:6">
      <c r="A27" s="2" t="s">
        <v>1534</v>
      </c>
      <c r="B27" s="636">
        <f>IF('FORM 1040-3'!D32="",0,('FORM 1040-3'!D32))</f>
        <v>0</v>
      </c>
      <c r="D27" s="567" t="e">
        <f t="shared" si="0"/>
        <v>#DIV/0!</v>
      </c>
      <c r="E27" s="441"/>
      <c r="F27" s="441"/>
    </row>
    <row r="28" spans="1:6">
      <c r="A28" s="2" t="s">
        <v>1535</v>
      </c>
      <c r="B28" s="636">
        <f>IF('FORM 1040-3'!D33="",0,('FORM 1040-3'!D33))</f>
        <v>0</v>
      </c>
      <c r="D28" s="567" t="e">
        <f t="shared" si="0"/>
        <v>#DIV/0!</v>
      </c>
      <c r="E28" s="441"/>
      <c r="F28" s="441"/>
    </row>
    <row r="29" spans="1:6">
      <c r="A29" s="2" t="s">
        <v>1536</v>
      </c>
      <c r="B29" s="636">
        <f>IF('FORM 1040-3'!D34="",0,('FORM 1040-3'!D34))</f>
        <v>0</v>
      </c>
      <c r="D29" s="567" t="e">
        <f t="shared" si="0"/>
        <v>#DIV/0!</v>
      </c>
      <c r="E29" s="441"/>
      <c r="F29" s="441"/>
    </row>
    <row r="30" spans="1:6">
      <c r="A30" s="2" t="s">
        <v>1537</v>
      </c>
      <c r="B30" s="636">
        <f>IF('FORM 1040-3'!D35="",0,('FORM 1040-3'!D35))</f>
        <v>0</v>
      </c>
      <c r="D30" s="567" t="e">
        <f t="shared" si="0"/>
        <v>#DIV/0!</v>
      </c>
      <c r="E30" s="441"/>
      <c r="F30" s="441"/>
    </row>
    <row r="31" spans="1:6">
      <c r="A31" s="2" t="s">
        <v>1538</v>
      </c>
      <c r="B31" s="636">
        <f>IF('FORM 1040-3'!D36="",0,('FORM 1040-3'!D36))</f>
        <v>0</v>
      </c>
      <c r="D31" s="567" t="e">
        <f t="shared" si="0"/>
        <v>#DIV/0!</v>
      </c>
      <c r="E31" s="441"/>
      <c r="F31" s="441"/>
    </row>
    <row r="32" spans="1:6">
      <c r="A32" s="2" t="s">
        <v>1539</v>
      </c>
      <c r="B32" s="636">
        <f>IF('FORM 1040-3'!D37="",0,('FORM 1040-3'!D37))</f>
        <v>0</v>
      </c>
      <c r="D32" s="567" t="e">
        <f t="shared" si="0"/>
        <v>#DIV/0!</v>
      </c>
      <c r="E32" s="441"/>
      <c r="F32" s="441"/>
    </row>
    <row r="33" spans="1:6">
      <c r="A33" s="2" t="s">
        <v>2230</v>
      </c>
      <c r="B33" s="636">
        <f>IF('FORM 1040-3'!D38="",0,('FORM 1040-3'!D38))</f>
        <v>0</v>
      </c>
      <c r="D33" s="567" t="e">
        <f t="shared" si="0"/>
        <v>#DIV/0!</v>
      </c>
      <c r="E33" s="441"/>
      <c r="F33" s="441"/>
    </row>
    <row r="34" spans="1:6">
      <c r="A34" s="2" t="s">
        <v>1540</v>
      </c>
      <c r="B34" s="636">
        <f>IF('FORM 1040-3'!D39="",0,('FORM 1040-3'!D39))</f>
        <v>0</v>
      </c>
      <c r="C34" s="570" t="e">
        <f>+D34</f>
        <v>#DIV/0!</v>
      </c>
      <c r="D34" s="567" t="e">
        <f t="shared" si="0"/>
        <v>#DIV/0!</v>
      </c>
      <c r="E34" s="441"/>
      <c r="F34" s="441"/>
    </row>
    <row r="35" spans="1:6">
      <c r="A35" s="2" t="s">
        <v>1541</v>
      </c>
      <c r="B35" s="636">
        <f>IF('FORM 1040-3'!D40="",0,('FORM 1040-3'!D40))</f>
        <v>0</v>
      </c>
      <c r="D35" s="567" t="e">
        <f t="shared" si="0"/>
        <v>#DIV/0!</v>
      </c>
      <c r="E35" s="441"/>
      <c r="F35" s="441"/>
    </row>
    <row r="36" spans="1:6">
      <c r="A36" s="2" t="s">
        <v>1542</v>
      </c>
      <c r="B36" s="636"/>
      <c r="E36" s="441"/>
      <c r="F36" s="441"/>
    </row>
    <row r="37" spans="1:6">
      <c r="A37" s="576" t="s">
        <v>1549</v>
      </c>
      <c r="B37" s="636">
        <f>IF('FORM 1040-4'!D12="",0,('FORM 1040-4'!D12))</f>
        <v>0</v>
      </c>
      <c r="D37" s="567" t="e">
        <f t="shared" si="0"/>
        <v>#DIV/0!</v>
      </c>
      <c r="E37" s="441"/>
      <c r="F37" s="441"/>
    </row>
    <row r="38" spans="1:6">
      <c r="A38" s="576" t="s">
        <v>1550</v>
      </c>
      <c r="B38" s="636">
        <f>IF('FORM 1040-4'!D13="",0,('FORM 1040-4'!D13))</f>
        <v>0</v>
      </c>
      <c r="D38" s="567" t="e">
        <f t="shared" si="0"/>
        <v>#DIV/0!</v>
      </c>
      <c r="E38" s="441"/>
      <c r="F38" s="441"/>
    </row>
    <row r="39" spans="1:6">
      <c r="A39" s="576" t="s">
        <v>1551</v>
      </c>
      <c r="B39" s="636">
        <f>IF('FORM 1040-4'!D14="",0,('FORM 1040-4'!D14))</f>
        <v>0</v>
      </c>
      <c r="D39" s="567" t="e">
        <f t="shared" si="0"/>
        <v>#DIV/0!</v>
      </c>
      <c r="E39" s="441"/>
      <c r="F39" s="441"/>
    </row>
    <row r="40" spans="1:6">
      <c r="A40" s="576" t="s">
        <v>1552</v>
      </c>
      <c r="B40" s="636">
        <f>IF('FORM 1040-4'!D15="",0,('FORM 1040-4'!D15))</f>
        <v>0</v>
      </c>
      <c r="D40" s="567" t="e">
        <f t="shared" si="0"/>
        <v>#DIV/0!</v>
      </c>
      <c r="E40" s="441"/>
      <c r="F40" s="441"/>
    </row>
    <row r="41" spans="1:6">
      <c r="A41" s="576" t="s">
        <v>1553</v>
      </c>
      <c r="B41" s="636">
        <f>IF('FORM 1040-4'!D16="",0,('FORM 1040-4'!D16))</f>
        <v>0</v>
      </c>
      <c r="D41" s="567" t="e">
        <f t="shared" si="0"/>
        <v>#DIV/0!</v>
      </c>
      <c r="E41" s="441"/>
      <c r="F41" s="441"/>
    </row>
    <row r="42" spans="1:6">
      <c r="A42" s="576" t="s">
        <v>1554</v>
      </c>
      <c r="B42" s="636">
        <f>IF('FORM 1040-4'!D17="",0,('FORM 1040-4'!D17))</f>
        <v>0</v>
      </c>
      <c r="D42" s="567" t="e">
        <f t="shared" si="0"/>
        <v>#DIV/0!</v>
      </c>
      <c r="E42" s="441"/>
      <c r="F42" s="441"/>
    </row>
    <row r="43" spans="1:6">
      <c r="A43" s="576" t="s">
        <v>1555</v>
      </c>
      <c r="B43" s="636">
        <f>IF('FORM 1040-4'!D18="",0,('FORM 1040-4'!D18))</f>
        <v>0</v>
      </c>
      <c r="D43" s="567" t="e">
        <f t="shared" si="0"/>
        <v>#DIV/0!</v>
      </c>
      <c r="E43" s="441"/>
      <c r="F43" s="441"/>
    </row>
    <row r="44" spans="1:6">
      <c r="A44" s="576" t="s">
        <v>1556</v>
      </c>
      <c r="B44" s="636">
        <f>IF('FORM 1040-4'!D19="",0,('FORM 1040-4'!D19))</f>
        <v>0</v>
      </c>
      <c r="D44" s="567" t="e">
        <f t="shared" si="0"/>
        <v>#DIV/0!</v>
      </c>
      <c r="E44" s="441"/>
      <c r="F44" s="441"/>
    </row>
    <row r="45" spans="1:6">
      <c r="A45" s="576" t="s">
        <v>1557</v>
      </c>
      <c r="B45" s="636">
        <f>IF('FORM 1040-4'!D20="",0,('FORM 1040-4'!D20))</f>
        <v>0</v>
      </c>
      <c r="D45" s="567" t="e">
        <f t="shared" si="0"/>
        <v>#DIV/0!</v>
      </c>
      <c r="E45" s="441"/>
      <c r="F45" s="441"/>
    </row>
    <row r="46" spans="1:6">
      <c r="A46" s="576" t="s">
        <v>1558</v>
      </c>
      <c r="B46" s="636">
        <f>IF('FORM 1040-4'!D21="",0,('FORM 1040-4'!D21))</f>
        <v>0</v>
      </c>
      <c r="D46" s="567" t="e">
        <f t="shared" si="0"/>
        <v>#DIV/0!</v>
      </c>
      <c r="E46" s="441"/>
      <c r="F46" s="441"/>
    </row>
    <row r="47" spans="1:6">
      <c r="A47" s="576" t="s">
        <v>1559</v>
      </c>
      <c r="B47" s="636">
        <f>IF('FORM 1040-4'!D22="",0,('FORM 1040-4'!D22))</f>
        <v>0</v>
      </c>
      <c r="D47" s="567" t="e">
        <f t="shared" si="0"/>
        <v>#DIV/0!</v>
      </c>
      <c r="E47" s="441"/>
      <c r="F47" s="441"/>
    </row>
    <row r="48" spans="1:6">
      <c r="A48" s="576" t="str">
        <f>IF('FORM 1040-4'!B23="","",('FORM 1040-4'!B23))</f>
        <v/>
      </c>
      <c r="B48" s="636">
        <f>IF('FORM 1040-4'!D23="",0,('FORM 1040-4'!D23))</f>
        <v>0</v>
      </c>
      <c r="D48" s="567" t="e">
        <f t="shared" si="0"/>
        <v>#DIV/0!</v>
      </c>
      <c r="E48" s="441"/>
      <c r="F48" s="441"/>
    </row>
    <row r="49" spans="1:6">
      <c r="A49" s="576" t="str">
        <f>IF('FORM 1040-4'!B24="","",('FORM 1040-4'!B24))</f>
        <v/>
      </c>
      <c r="B49" s="636">
        <f>IF('FORM 1040-4'!D24="",0,('FORM 1040-4'!D24))</f>
        <v>0</v>
      </c>
      <c r="D49" s="567" t="e">
        <f t="shared" si="0"/>
        <v>#DIV/0!</v>
      </c>
      <c r="E49" s="441"/>
      <c r="F49" s="441"/>
    </row>
    <row r="50" spans="1:6">
      <c r="A50" s="576" t="str">
        <f>IF('FORM 1040-4'!B25="","",('FORM 1040-4'!B25))</f>
        <v/>
      </c>
      <c r="B50" s="636">
        <f>IF('FORM 1040-4'!D25="",0,('FORM 1040-4'!D25))</f>
        <v>0</v>
      </c>
      <c r="D50" s="567" t="e">
        <f t="shared" si="0"/>
        <v>#DIV/0!</v>
      </c>
      <c r="E50" s="441"/>
      <c r="F50" s="441"/>
    </row>
    <row r="51" spans="1:6">
      <c r="A51" s="576" t="str">
        <f>IF('FORM 1040-4'!B26="","",('FORM 1040-4'!B26))</f>
        <v/>
      </c>
      <c r="B51" s="636">
        <f>IF('FORM 1040-4'!D26="",0,('FORM 1040-4'!D26))</f>
        <v>0</v>
      </c>
      <c r="D51" s="567" t="e">
        <f t="shared" si="0"/>
        <v>#DIV/0!</v>
      </c>
      <c r="E51" s="441"/>
      <c r="F51" s="441"/>
    </row>
    <row r="52" spans="1:6">
      <c r="A52" s="576" t="str">
        <f>IF('FORM 1040-4'!B27="","",('FORM 1040-4'!B27))</f>
        <v/>
      </c>
      <c r="B52" s="636">
        <f>IF('FORM 1040-4'!D27="",0,('FORM 1040-4'!D27))</f>
        <v>0</v>
      </c>
      <c r="D52" s="567" t="e">
        <f t="shared" si="0"/>
        <v>#DIV/0!</v>
      </c>
      <c r="E52" s="441"/>
      <c r="F52" s="441"/>
    </row>
    <row r="53" spans="1:6">
      <c r="A53" s="576" t="str">
        <f>IF('FORM 1040-4'!B28="","",('FORM 1040-4'!B28))</f>
        <v/>
      </c>
      <c r="B53" s="636">
        <f>IF('FORM 1040-4'!D28="",0,('FORM 1040-4'!D28))</f>
        <v>0</v>
      </c>
      <c r="D53" s="567" t="e">
        <f t="shared" si="0"/>
        <v>#DIV/0!</v>
      </c>
      <c r="E53" s="441"/>
      <c r="F53" s="441"/>
    </row>
    <row r="54" spans="1:6">
      <c r="A54" s="576" t="str">
        <f>IF('FORM 1040-4'!B29="","",('FORM 1040-4'!B29))</f>
        <v/>
      </c>
      <c r="B54" s="636">
        <f>IF('FORM 1040-4'!D29="",0,('FORM 1040-4'!D29))</f>
        <v>0</v>
      </c>
      <c r="D54" s="567" t="e">
        <f t="shared" si="0"/>
        <v>#DIV/0!</v>
      </c>
      <c r="E54" s="441"/>
      <c r="F54" s="441"/>
    </row>
    <row r="55" spans="1:6">
      <c r="A55" s="576" t="str">
        <f>IF('FORM 1040-4'!B30="","",('FORM 1040-4'!B30))</f>
        <v/>
      </c>
      <c r="B55" s="636">
        <f>IF('FORM 1040-4'!D30="",0,('FORM 1040-4'!D30))</f>
        <v>0</v>
      </c>
      <c r="D55" s="567" t="e">
        <f t="shared" si="0"/>
        <v>#DIV/0!</v>
      </c>
      <c r="E55" s="441"/>
      <c r="F55" s="441"/>
    </row>
    <row r="56" spans="1:6">
      <c r="A56" s="576" t="str">
        <f>IF('FORM 1040-4'!B31="","",('FORM 1040-4'!B31))</f>
        <v/>
      </c>
      <c r="B56" s="636">
        <f>IF('FORM 1040-4'!D31="",0,('FORM 1040-4'!D31))</f>
        <v>0</v>
      </c>
      <c r="D56" s="567" t="e">
        <f t="shared" si="0"/>
        <v>#DIV/0!</v>
      </c>
      <c r="E56" s="441"/>
      <c r="F56" s="441"/>
    </row>
    <row r="57" spans="1:6">
      <c r="A57" s="576"/>
      <c r="B57" s="636"/>
      <c r="E57" s="441"/>
      <c r="F57" s="441"/>
    </row>
    <row r="58" spans="1:6">
      <c r="A58" s="2" t="s">
        <v>1543</v>
      </c>
      <c r="B58" s="636">
        <f>SUM(B15:B56)</f>
        <v>0</v>
      </c>
      <c r="C58" s="570" t="e">
        <f>SUM(C15:C56)</f>
        <v>#DIV/0!</v>
      </c>
      <c r="D58" s="567" t="e">
        <f>SUM(D15:D56)</f>
        <v>#DIV/0!</v>
      </c>
      <c r="E58" s="441"/>
    </row>
    <row r="59" spans="1:6">
      <c r="A59" s="563"/>
      <c r="B59" s="636"/>
      <c r="E59" s="563"/>
    </row>
    <row r="60" spans="1:6">
      <c r="A60" s="2" t="s">
        <v>1521</v>
      </c>
      <c r="B60" s="636">
        <f>IF('FORM 1040-3'!D42="","",('FORM 1040-3'!D42))</f>
        <v>0</v>
      </c>
      <c r="E60" s="571"/>
    </row>
    <row r="61" spans="1:6">
      <c r="B61" s="441"/>
      <c r="C61" s="572"/>
      <c r="D61" s="573"/>
    </row>
    <row r="62" spans="1:6">
      <c r="A62" s="2" t="s">
        <v>2289</v>
      </c>
      <c r="B62" s="571" t="e">
        <f>B58/B60</f>
        <v>#DIV/0!</v>
      </c>
      <c r="D62" s="567" t="s">
        <v>41</v>
      </c>
    </row>
  </sheetData>
  <sheetProtection algorithmName="SHA-512" hashValue="Udtw424N1upO18gJHPUzsPxTCCc1vziy8nQuJaDh1nhlWj+Dreb2HBMpOFxKm6hbb2Vew47P05u1SL4Gt2W/Jw==" saltValue="gihJgWUt/yVIj8SfE+/U2w==" spinCount="100000" sheet="1" objects="1" scenarios="1"/>
  <mergeCells count="10">
    <mergeCell ref="C14:D14"/>
    <mergeCell ref="C4:D4"/>
    <mergeCell ref="C5:D5"/>
    <mergeCell ref="C6:D6"/>
    <mergeCell ref="C8:D8"/>
    <mergeCell ref="A1:D1"/>
    <mergeCell ref="A2:D2"/>
    <mergeCell ref="A3:D3"/>
    <mergeCell ref="C7:D7"/>
    <mergeCell ref="C13:D13"/>
  </mergeCells>
  <printOptions horizontalCentered="1" gridLines="1"/>
  <pageMargins left="0.5" right="0.5" top="0.75" bottom="0.75" header="0" footer="0.5"/>
  <pageSetup scale="87" orientation="portrait" r:id="rId1"/>
  <headerFooter alignWithMargins="0">
    <oddFooter>&amp;C&amp;A&amp;R&amp;D &amp;T</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44">
    <pageSetUpPr fitToPage="1"/>
  </sheetPr>
  <dimension ref="A1:D46"/>
  <sheetViews>
    <sheetView workbookViewId="0">
      <selection sqref="A1:D1"/>
    </sheetView>
  </sheetViews>
  <sheetFormatPr defaultColWidth="9.140625" defaultRowHeight="12.75"/>
  <cols>
    <col min="1" max="1" width="60" style="583" customWidth="1"/>
    <col min="2" max="2" width="15.7109375" style="584" customWidth="1"/>
    <col min="3" max="3" width="22.85546875" style="584" customWidth="1"/>
    <col min="4" max="4" width="20.42578125" style="584" customWidth="1"/>
    <col min="5" max="16384" width="9.140625" style="583"/>
  </cols>
  <sheetData>
    <row r="1" spans="1:4">
      <c r="A1" s="2292" t="s">
        <v>35</v>
      </c>
      <c r="B1" s="2292"/>
      <c r="C1" s="2292"/>
      <c r="D1" s="2292"/>
    </row>
    <row r="2" spans="1:4">
      <c r="A2" s="2270" t="s">
        <v>36</v>
      </c>
      <c r="B2" s="2270"/>
      <c r="C2" s="2270"/>
      <c r="D2" s="2270"/>
    </row>
    <row r="3" spans="1:4" ht="13.5" thickBot="1">
      <c r="A3" s="2292" t="s">
        <v>1575</v>
      </c>
      <c r="B3" s="2292"/>
      <c r="C3" s="2292"/>
      <c r="D3" s="2292"/>
    </row>
    <row r="4" spans="1:4" ht="13.5" thickBot="1">
      <c r="A4" s="581"/>
      <c r="B4" s="582"/>
      <c r="C4" s="2283" t="s">
        <v>1019</v>
      </c>
      <c r="D4" s="2284"/>
    </row>
    <row r="5" spans="1:4">
      <c r="A5" s="2290" t="s">
        <v>1544</v>
      </c>
      <c r="B5" s="2291"/>
      <c r="C5" s="2285"/>
      <c r="D5" s="2286"/>
    </row>
    <row r="6" spans="1:4">
      <c r="A6" s="2290" t="s">
        <v>1545</v>
      </c>
      <c r="B6" s="2291"/>
      <c r="C6" s="2289"/>
      <c r="D6" s="2288"/>
    </row>
    <row r="7" spans="1:4">
      <c r="A7" s="2290" t="s">
        <v>1546</v>
      </c>
      <c r="B7" s="2291"/>
      <c r="C7" s="2287"/>
      <c r="D7" s="2288"/>
    </row>
    <row r="8" spans="1:4" ht="13.5" thickBot="1">
      <c r="A8" s="2290" t="s">
        <v>1548</v>
      </c>
      <c r="B8" s="2291"/>
      <c r="C8" s="2281" t="str">
        <f>IF('FORM 1040-1'!E12="","",'FORM 1040-1'!E12)</f>
        <v/>
      </c>
      <c r="D8" s="2282"/>
    </row>
    <row r="9" spans="1:4">
      <c r="A9" s="564"/>
      <c r="B9" s="1133"/>
    </row>
    <row r="10" spans="1:4">
      <c r="A10" s="587" t="s">
        <v>1560</v>
      </c>
      <c r="B10" s="565" t="str">
        <f>IF('FORM 1040-1'!D15="","",('FORM 1040-1'!D15))</f>
        <v/>
      </c>
    </row>
    <row r="11" spans="1:4">
      <c r="A11" s="587" t="s">
        <v>1517</v>
      </c>
      <c r="B11" s="569">
        <f>IF('FORM 1040-27'!L21="","",('FORM 1040-27'!L21))</f>
        <v>0</v>
      </c>
    </row>
    <row r="12" spans="1:4">
      <c r="B12" s="569"/>
    </row>
    <row r="14" spans="1:4">
      <c r="B14" s="585" t="s">
        <v>1561</v>
      </c>
      <c r="C14" s="585" t="s">
        <v>1562</v>
      </c>
      <c r="D14" s="585" t="s">
        <v>1563</v>
      </c>
    </row>
    <row r="15" spans="1:4">
      <c r="A15" s="587" t="s">
        <v>1564</v>
      </c>
      <c r="B15" s="585" t="s">
        <v>1565</v>
      </c>
      <c r="C15" s="585" t="s">
        <v>1566</v>
      </c>
      <c r="D15" s="585" t="s">
        <v>1567</v>
      </c>
    </row>
    <row r="17" spans="1:4">
      <c r="A17" s="583" t="s">
        <v>2269</v>
      </c>
    </row>
    <row r="18" spans="1:4">
      <c r="A18" s="1119" t="s">
        <v>1568</v>
      </c>
      <c r="B18" s="586">
        <f>+'FORM 1040-2'!BJ43+'FORM 1040-22'!AF52</f>
        <v>0</v>
      </c>
      <c r="C18" s="584">
        <v>108147</v>
      </c>
      <c r="D18" s="584">
        <f>B18*C18</f>
        <v>0</v>
      </c>
    </row>
    <row r="19" spans="1:4">
      <c r="A19" s="1119" t="s">
        <v>1569</v>
      </c>
      <c r="B19" s="586">
        <f>+'FORM 1040-2'!BK43+'FORM 1040-22'!AG52</f>
        <v>0</v>
      </c>
      <c r="C19" s="584">
        <v>124369</v>
      </c>
      <c r="D19" s="584">
        <f>B19*C19</f>
        <v>0</v>
      </c>
    </row>
    <row r="20" spans="1:4">
      <c r="A20" s="1119" t="s">
        <v>1570</v>
      </c>
      <c r="B20" s="586">
        <f>+'FORM 1040-2'!BL43+'FORM 1040-22'!AH52</f>
        <v>0</v>
      </c>
      <c r="C20" s="584">
        <v>151730</v>
      </c>
      <c r="D20" s="584">
        <f>B20*C20</f>
        <v>0</v>
      </c>
    </row>
    <row r="21" spans="1:4">
      <c r="A21" s="1119" t="s">
        <v>1571</v>
      </c>
      <c r="B21" s="586">
        <f>+'FORM 1040-2'!BM43+'FORM 1040-22'!AI52</f>
        <v>0</v>
      </c>
      <c r="C21" s="584">
        <v>195732</v>
      </c>
      <c r="D21" s="584">
        <f>B21*C21</f>
        <v>0</v>
      </c>
    </row>
    <row r="22" spans="1:4">
      <c r="A22" s="1119" t="s">
        <v>1572</v>
      </c>
      <c r="B22" s="586">
        <f>+'FORM 1040-2'!BN43+'FORM 1040-22'!AJ52</f>
        <v>0</v>
      </c>
      <c r="C22" s="584">
        <v>215304</v>
      </c>
      <c r="D22" s="584">
        <f>B22*C22</f>
        <v>0</v>
      </c>
    </row>
    <row r="23" spans="1:4">
      <c r="A23" s="583" t="s">
        <v>2270</v>
      </c>
      <c r="B23" s="586"/>
    </row>
    <row r="24" spans="1:4">
      <c r="A24" s="1119" t="s">
        <v>1568</v>
      </c>
      <c r="B24" s="586">
        <f>+'FORM 1040-2'!BO42+'FORM 1040-22'!AK51</f>
        <v>0</v>
      </c>
      <c r="C24" s="584">
        <v>176697</v>
      </c>
      <c r="D24" s="584">
        <f t="shared" ref="D24:D28" si="0">B24*C24</f>
        <v>0</v>
      </c>
    </row>
    <row r="25" spans="1:4">
      <c r="A25" s="1119" t="s">
        <v>1569</v>
      </c>
      <c r="B25" s="586">
        <f>+'FORM 1040-2'!BP42+'FORM 1040-22'!AL51</f>
        <v>0</v>
      </c>
      <c r="C25" s="584">
        <v>203202</v>
      </c>
      <c r="D25" s="584">
        <f t="shared" si="0"/>
        <v>0</v>
      </c>
    </row>
    <row r="26" spans="1:4">
      <c r="A26" s="1119" t="s">
        <v>1570</v>
      </c>
      <c r="B26" s="586">
        <f>+'FORM 1040-2'!BQ42+'FORM 1040-22'!AM51</f>
        <v>0</v>
      </c>
      <c r="C26" s="584">
        <v>247906</v>
      </c>
      <c r="D26" s="584">
        <f t="shared" si="0"/>
        <v>0</v>
      </c>
    </row>
    <row r="27" spans="1:4">
      <c r="A27" s="1119" t="s">
        <v>1571</v>
      </c>
      <c r="B27" s="586">
        <f>+'FORM 1040-2'!BR42+'FORM 1040-22'!AN51</f>
        <v>0</v>
      </c>
      <c r="C27" s="584">
        <v>319799</v>
      </c>
      <c r="D27" s="584">
        <f t="shared" si="0"/>
        <v>0</v>
      </c>
    </row>
    <row r="28" spans="1:4">
      <c r="A28" s="1119" t="s">
        <v>1572</v>
      </c>
      <c r="B28" s="586">
        <f>+'FORM 1040-2'!BS42+'FORM 1040-22'!AO51</f>
        <v>0</v>
      </c>
      <c r="C28" s="584">
        <v>351779</v>
      </c>
      <c r="D28" s="584">
        <f t="shared" si="0"/>
        <v>0</v>
      </c>
    </row>
    <row r="30" spans="1:4">
      <c r="A30" s="587" t="s">
        <v>338</v>
      </c>
      <c r="B30" s="586">
        <f>SUM(B18:B28)</f>
        <v>0</v>
      </c>
      <c r="D30" s="584">
        <f>SUM(D18:D28)</f>
        <v>0</v>
      </c>
    </row>
    <row r="33" spans="1:4">
      <c r="A33" s="583" t="s">
        <v>1521</v>
      </c>
      <c r="D33" s="598">
        <f>IF('FORM 1040-3'!D42="","",('FORM 1040-3'!D42))</f>
        <v>0</v>
      </c>
    </row>
    <row r="34" spans="1:4">
      <c r="A34" s="583" t="s">
        <v>1593</v>
      </c>
      <c r="D34" s="598">
        <f>IF('FORM 1040-3'!D19="",0,('FORM 1040-3'!D19))</f>
        <v>0</v>
      </c>
    </row>
    <row r="35" spans="1:4">
      <c r="A35" s="583" t="s">
        <v>1573</v>
      </c>
      <c r="D35" s="584">
        <f>+D33-D34</f>
        <v>0</v>
      </c>
    </row>
    <row r="37" spans="1:4" ht="13.5" thickBot="1">
      <c r="A37" s="583" t="s">
        <v>1574</v>
      </c>
      <c r="D37" s="584">
        <f>+D35-D30</f>
        <v>0</v>
      </c>
    </row>
    <row r="38" spans="1:4" ht="13.5" thickBot="1">
      <c r="A38" s="583" t="s">
        <v>2467</v>
      </c>
      <c r="D38" s="1452"/>
    </row>
    <row r="39" spans="1:4" ht="13.5" thickBot="1">
      <c r="A39" s="583" t="s">
        <v>2720</v>
      </c>
      <c r="D39" s="1452"/>
    </row>
    <row r="40" spans="1:4">
      <c r="A40" s="583" t="s">
        <v>2466</v>
      </c>
      <c r="D40" s="584">
        <f>+D37-D38-D39</f>
        <v>0</v>
      </c>
    </row>
    <row r="42" spans="1:4">
      <c r="D42" s="585"/>
    </row>
    <row r="43" spans="1:4">
      <c r="C43" s="646" t="s">
        <v>1618</v>
      </c>
      <c r="D43" s="584">
        <f>IF('PROP COST ANALYSIS - FUND USE'!D37&lt;0,0,'PROP COST ANALYSIS - FUND USE'!D37)</f>
        <v>0</v>
      </c>
    </row>
    <row r="44" spans="1:4">
      <c r="C44" s="646"/>
    </row>
    <row r="45" spans="1:4">
      <c r="C45" s="646" t="s">
        <v>1619</v>
      </c>
      <c r="D45" s="584">
        <f>+D43*'PROPERTY COST ADJ - FUND USE'!K41</f>
        <v>0</v>
      </c>
    </row>
    <row r="46" spans="1:4">
      <c r="C46" s="646" t="s">
        <v>1620</v>
      </c>
      <c r="D46" s="584">
        <f>+D43*'PROPERTY COST ADJ - FUND USE'!K42</f>
        <v>0</v>
      </c>
    </row>
  </sheetData>
  <sheetProtection algorithmName="SHA-512" hashValue="fZUxIs8amrgimeaQjHJjw0IwgPKbbclF+RixY6THksM4Fzt1LCorbLqCWAmFZD1aWP0ie5PbAhkxCdlmdTQ6qw==" saltValue="wBO85/ljilBO12S1R+SsYQ==" spinCount="100000" sheet="1" objects="1" scenarios="1"/>
  <mergeCells count="12">
    <mergeCell ref="A1:D1"/>
    <mergeCell ref="A3:D3"/>
    <mergeCell ref="A5:B5"/>
    <mergeCell ref="A6:B6"/>
    <mergeCell ref="A7:B7"/>
    <mergeCell ref="C8:D8"/>
    <mergeCell ref="A2:D2"/>
    <mergeCell ref="C4:D4"/>
    <mergeCell ref="C5:D5"/>
    <mergeCell ref="C7:D7"/>
    <mergeCell ref="C6:D6"/>
    <mergeCell ref="A8:B8"/>
  </mergeCells>
  <printOptions horizontalCentered="1" verticalCentered="1" gridLines="1"/>
  <pageMargins left="0.5" right="0.5" top="0.75" bottom="0.75" header="0" footer="0.5"/>
  <pageSetup orientation="landscape" r:id="rId1"/>
  <headerFooter alignWithMargins="0">
    <oddFooter>&amp;C&amp;A&amp;R&amp;D &amp;T</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45"/>
  <dimension ref="A1:W114"/>
  <sheetViews>
    <sheetView workbookViewId="0">
      <pane xSplit="4" ySplit="8" topLeftCell="E9" activePane="bottomRight" state="frozen"/>
      <selection sqref="A1:D1"/>
      <selection pane="topRight" sqref="A1:D1"/>
      <selection pane="bottomLeft" sqref="A1:D1"/>
      <selection pane="bottomRight" activeCell="E9" sqref="E9"/>
    </sheetView>
  </sheetViews>
  <sheetFormatPr defaultColWidth="10.7109375" defaultRowHeight="12.75"/>
  <cols>
    <col min="1" max="1" width="4.42578125" style="1065" customWidth="1"/>
    <col min="2" max="2" width="4.42578125" style="1103" customWidth="1"/>
    <col min="3" max="3" width="15.7109375" style="626" customWidth="1"/>
    <col min="4" max="4" width="32.7109375" style="626" customWidth="1"/>
    <col min="5" max="5" width="14.7109375" style="621" customWidth="1"/>
    <col min="6" max="6" width="2.7109375" style="627" customWidth="1"/>
    <col min="7" max="7" width="14.7109375" style="621" customWidth="1"/>
    <col min="8" max="8" width="2.7109375" style="627" customWidth="1"/>
    <col min="9" max="9" width="14.7109375" style="621" customWidth="1"/>
    <col min="10" max="10" width="12.7109375" style="621" customWidth="1"/>
    <col min="11" max="11" width="25.7109375" style="621" customWidth="1"/>
    <col min="12" max="12" width="15.7109375" style="621" customWidth="1"/>
    <col min="13" max="13" width="12.85546875" style="621" bestFit="1" customWidth="1"/>
    <col min="14" max="14" width="11.42578125" style="621" customWidth="1"/>
    <col min="15" max="15" width="12.28515625" style="621" customWidth="1"/>
    <col min="16" max="23" width="10.7109375" style="621" customWidth="1"/>
    <col min="24" max="16384" width="10.7109375" style="626"/>
  </cols>
  <sheetData>
    <row r="1" spans="1:23" s="442" customFormat="1" ht="14.1" customHeight="1" thickBot="1">
      <c r="A1" s="2304" t="s">
        <v>1516</v>
      </c>
      <c r="B1" s="2304"/>
      <c r="C1" s="2304"/>
      <c r="D1" s="1297" t="str">
        <f>IF('FORM 1040-1'!D15="","",('FORM 1040-1'!D15))</f>
        <v/>
      </c>
      <c r="E1" s="1298"/>
      <c r="F1" s="1299"/>
      <c r="G1" s="1297"/>
      <c r="H1" s="1300"/>
      <c r="I1" s="1301"/>
      <c r="J1" s="622"/>
      <c r="K1" s="622"/>
      <c r="L1" s="622"/>
      <c r="M1" s="622"/>
      <c r="N1" s="622"/>
      <c r="O1" s="622"/>
      <c r="P1" s="622"/>
      <c r="Q1" s="622"/>
      <c r="R1" s="622"/>
      <c r="S1" s="622"/>
    </row>
    <row r="2" spans="1:23" s="442" customFormat="1" ht="14.1" customHeight="1" thickBot="1">
      <c r="A2" s="2309"/>
      <c r="B2" s="2309"/>
      <c r="C2" s="2310"/>
      <c r="D2" s="634" t="s">
        <v>1019</v>
      </c>
      <c r="E2" s="622"/>
      <c r="F2" s="1190"/>
      <c r="H2" s="633"/>
      <c r="J2" s="622"/>
      <c r="K2" s="622"/>
      <c r="L2" s="622"/>
      <c r="M2" s="622"/>
      <c r="N2" s="622"/>
      <c r="O2" s="622"/>
      <c r="P2" s="622"/>
      <c r="Q2" s="622"/>
      <c r="R2" s="622"/>
      <c r="S2" s="622"/>
    </row>
    <row r="3" spans="1:23" s="442" customFormat="1" ht="14.1" customHeight="1">
      <c r="A3" s="2305" t="s">
        <v>1544</v>
      </c>
      <c r="B3" s="2305"/>
      <c r="C3" s="2306"/>
      <c r="D3" s="1125"/>
      <c r="E3" s="622"/>
      <c r="F3" s="1190"/>
      <c r="G3" s="624" t="s">
        <v>2340</v>
      </c>
      <c r="H3" s="633"/>
      <c r="I3" s="624" t="s">
        <v>2339</v>
      </c>
      <c r="J3" s="622"/>
      <c r="K3" s="622"/>
      <c r="L3" s="622"/>
      <c r="M3" s="622"/>
      <c r="N3" s="622"/>
      <c r="O3" s="622"/>
      <c r="P3" s="622"/>
      <c r="Q3" s="622"/>
      <c r="R3" s="622"/>
      <c r="S3" s="622"/>
    </row>
    <row r="4" spans="1:23" s="442" customFormat="1">
      <c r="A4" s="2305" t="s">
        <v>1545</v>
      </c>
      <c r="B4" s="2305"/>
      <c r="C4" s="2306"/>
      <c r="D4" s="1126"/>
      <c r="F4" s="633"/>
      <c r="G4" s="624" t="s">
        <v>2283</v>
      </c>
      <c r="H4" s="1194"/>
      <c r="I4" s="624" t="s">
        <v>2284</v>
      </c>
      <c r="J4" s="622"/>
      <c r="K4" s="622"/>
      <c r="L4" s="622"/>
      <c r="M4" s="622"/>
      <c r="N4" s="622"/>
      <c r="O4" s="622"/>
      <c r="P4" s="622"/>
      <c r="Q4" s="622"/>
      <c r="R4" s="622"/>
      <c r="S4" s="622"/>
    </row>
    <row r="5" spans="1:23" s="442" customFormat="1">
      <c r="A5" s="2305" t="s">
        <v>1546</v>
      </c>
      <c r="B5" s="2305"/>
      <c r="C5" s="2306"/>
      <c r="D5" s="1126"/>
      <c r="E5" s="624"/>
      <c r="F5" s="1191"/>
      <c r="G5" s="624" t="s">
        <v>100</v>
      </c>
      <c r="H5" s="1191"/>
      <c r="I5" s="624" t="s">
        <v>100</v>
      </c>
      <c r="J5" s="622"/>
      <c r="K5" s="622"/>
      <c r="L5" s="622"/>
      <c r="M5" s="622"/>
      <c r="N5" s="622"/>
      <c r="O5" s="622"/>
      <c r="P5" s="622"/>
      <c r="Q5" s="622"/>
      <c r="R5" s="622"/>
      <c r="S5" s="622"/>
    </row>
    <row r="6" spans="1:23" s="442" customFormat="1" ht="26.1" customHeight="1" thickBot="1">
      <c r="A6" s="2307" t="s">
        <v>1548</v>
      </c>
      <c r="B6" s="2307"/>
      <c r="C6" s="2308"/>
      <c r="D6" s="1296" t="str">
        <f>IF('FORM 1040-1'!E12="","",'FORM 1040-1'!E12)</f>
        <v/>
      </c>
      <c r="E6" s="624" t="s">
        <v>1603</v>
      </c>
      <c r="F6" s="1191"/>
      <c r="G6" s="624" t="s">
        <v>761</v>
      </c>
      <c r="H6" s="1191"/>
      <c r="I6" s="624" t="s">
        <v>761</v>
      </c>
      <c r="J6" s="622"/>
      <c r="K6" s="622"/>
      <c r="L6" s="622"/>
      <c r="M6" s="622"/>
      <c r="N6" s="622"/>
      <c r="O6" s="622"/>
      <c r="P6" s="622"/>
      <c r="Q6" s="622"/>
      <c r="R6" s="622"/>
      <c r="S6" s="622"/>
    </row>
    <row r="7" spans="1:23" s="442" customFormat="1" ht="15" customHeight="1">
      <c r="A7" s="1064"/>
      <c r="B7" s="1102"/>
      <c r="D7" s="623"/>
      <c r="E7" s="624" t="s">
        <v>100</v>
      </c>
      <c r="F7" s="1191"/>
      <c r="G7" s="624" t="s">
        <v>1604</v>
      </c>
      <c r="H7" s="1191"/>
      <c r="I7" s="624" t="s">
        <v>1604</v>
      </c>
      <c r="J7" s="622"/>
      <c r="K7" s="622"/>
      <c r="L7" s="622"/>
      <c r="M7" s="622"/>
      <c r="N7" s="622"/>
      <c r="O7" s="622"/>
      <c r="P7" s="622"/>
      <c r="Q7" s="622"/>
      <c r="R7" s="622"/>
      <c r="S7" s="622"/>
    </row>
    <row r="8" spans="1:23" s="442" customFormat="1" ht="15" customHeight="1">
      <c r="A8" s="1064"/>
      <c r="B8" s="1102"/>
      <c r="C8" s="2302" t="s">
        <v>98</v>
      </c>
      <c r="D8" s="2302"/>
      <c r="E8" s="624" t="s">
        <v>1605</v>
      </c>
      <c r="F8" s="1191"/>
      <c r="G8" s="624" t="s">
        <v>1606</v>
      </c>
      <c r="H8" s="1191"/>
      <c r="I8" s="624" t="s">
        <v>1606</v>
      </c>
      <c r="J8" s="622"/>
      <c r="K8" s="622"/>
      <c r="L8" s="622"/>
      <c r="M8" s="622"/>
      <c r="N8" s="622"/>
      <c r="O8" s="622"/>
      <c r="P8" s="622"/>
      <c r="Q8" s="622"/>
      <c r="R8" s="622"/>
      <c r="S8" s="622"/>
    </row>
    <row r="9" spans="1:23" ht="15" customHeight="1" thickBot="1">
      <c r="A9" s="1189" t="s">
        <v>58</v>
      </c>
      <c r="B9" s="2295" t="s">
        <v>783</v>
      </c>
      <c r="C9" s="2295"/>
      <c r="D9" s="2295"/>
      <c r="E9" s="619">
        <f>+'FORM 1040-3'!D42</f>
        <v>0</v>
      </c>
      <c r="G9" s="619">
        <f>+'FORM 1040-3'!F42</f>
        <v>0</v>
      </c>
      <c r="I9" s="619">
        <f>+'FORM 1040-3'!H42</f>
        <v>0</v>
      </c>
      <c r="T9" s="626"/>
      <c r="U9" s="626"/>
      <c r="V9" s="626"/>
      <c r="W9" s="626"/>
    </row>
    <row r="10" spans="1:23" ht="15" customHeight="1" thickTop="1">
      <c r="A10" s="2295" t="s">
        <v>2338</v>
      </c>
      <c r="B10" s="2295"/>
      <c r="C10" s="2295"/>
      <c r="D10" s="2295"/>
      <c r="V10" s="626"/>
      <c r="W10" s="626"/>
    </row>
    <row r="11" spans="1:23" ht="15" customHeight="1">
      <c r="A11" s="1130"/>
      <c r="B11" s="1130">
        <v>10</v>
      </c>
      <c r="C11" s="2294" t="s">
        <v>1611</v>
      </c>
      <c r="D11" s="2294"/>
      <c r="E11" s="621">
        <f>IF('FORM 1040-3'!V20&lt;0,'FORM 1040-3'!V20,0)</f>
        <v>0</v>
      </c>
      <c r="G11" s="621">
        <f>+E11</f>
        <v>0</v>
      </c>
      <c r="I11" s="621">
        <v>0</v>
      </c>
      <c r="V11" s="626"/>
      <c r="W11" s="626"/>
    </row>
    <row r="12" spans="1:23" ht="15" customHeight="1">
      <c r="A12" s="1130"/>
      <c r="B12" s="1130">
        <v>11</v>
      </c>
      <c r="C12" s="2294" t="s">
        <v>1612</v>
      </c>
      <c r="D12" s="2294"/>
      <c r="E12" s="621">
        <f>IF('FORM 1040-3'!V21&lt;0,'FORM 1040-3'!V21,0)</f>
        <v>0</v>
      </c>
      <c r="G12" s="621">
        <f>+E12</f>
        <v>0</v>
      </c>
      <c r="I12" s="621">
        <v>0</v>
      </c>
      <c r="V12" s="626"/>
      <c r="W12" s="626"/>
    </row>
    <row r="13" spans="1:23" ht="15" customHeight="1">
      <c r="A13" s="1130"/>
      <c r="B13" s="1130">
        <v>12</v>
      </c>
      <c r="C13" s="2294" t="s">
        <v>1613</v>
      </c>
      <c r="D13" s="2294"/>
      <c r="E13" s="621">
        <f>IF('FORM 1040-3'!V22&lt;0,'FORM 1040-3'!V22,0)</f>
        <v>0</v>
      </c>
      <c r="G13" s="621">
        <f>+E13</f>
        <v>0</v>
      </c>
      <c r="I13" s="621">
        <v>0</v>
      </c>
      <c r="V13" s="626"/>
      <c r="W13" s="626"/>
    </row>
    <row r="14" spans="1:23" ht="15" customHeight="1">
      <c r="A14" s="1130"/>
      <c r="B14" s="1131"/>
      <c r="C14" s="2303"/>
      <c r="D14" s="2303"/>
      <c r="E14" s="1261"/>
      <c r="G14" s="1261"/>
      <c r="I14" s="1261"/>
      <c r="V14" s="626"/>
      <c r="W14" s="626"/>
    </row>
    <row r="15" spans="1:23" ht="15" customHeight="1">
      <c r="A15" s="1130"/>
      <c r="B15" s="1131"/>
      <c r="C15" s="2303"/>
      <c r="D15" s="2303"/>
      <c r="E15" s="1261"/>
      <c r="G15" s="1261"/>
      <c r="I15" s="1261"/>
      <c r="V15" s="626"/>
      <c r="W15" s="626"/>
    </row>
    <row r="16" spans="1:23" ht="15" customHeight="1">
      <c r="A16" s="1130"/>
      <c r="B16" s="1130"/>
      <c r="C16" s="2294" t="s">
        <v>1610</v>
      </c>
      <c r="D16" s="2294"/>
      <c r="E16" s="621">
        <f>IF('PROP COST ANALYSIS - FUND USE'!D40&lt;0,0,-'PROP COST ANALYSIS - FUND USE'!D40-E11-E12-E13-E14-E15)</f>
        <v>0</v>
      </c>
      <c r="G16" s="621">
        <f>+E16*K41</f>
        <v>0</v>
      </c>
      <c r="I16" s="621">
        <f>+E16*K42</f>
        <v>0</v>
      </c>
      <c r="T16" s="626"/>
      <c r="U16" s="626"/>
      <c r="V16" s="626"/>
      <c r="W16" s="626"/>
    </row>
    <row r="17" spans="1:23" ht="15" customHeight="1">
      <c r="A17" s="1130"/>
      <c r="B17" s="1130">
        <v>29</v>
      </c>
      <c r="C17" s="2294" t="s">
        <v>2103</v>
      </c>
      <c r="D17" s="2294"/>
      <c r="E17" s="621">
        <f>-'FORM 1040-3'!D39</f>
        <v>0</v>
      </c>
      <c r="G17" s="621">
        <f>-'FORM 1040-3'!F39</f>
        <v>0</v>
      </c>
      <c r="I17" s="621">
        <f>-'FORM 1040-3'!H39</f>
        <v>0</v>
      </c>
      <c r="T17" s="626"/>
      <c r="U17" s="626"/>
      <c r="V17" s="626"/>
      <c r="W17" s="626"/>
    </row>
    <row r="18" spans="1:23" ht="15" customHeight="1">
      <c r="A18" s="1130"/>
      <c r="B18" s="1130">
        <v>29</v>
      </c>
      <c r="C18" s="2294" t="s">
        <v>2103</v>
      </c>
      <c r="D18" s="2294"/>
      <c r="E18" s="621">
        <f>+G18+I18</f>
        <v>0</v>
      </c>
      <c r="G18" s="628">
        <f>IF(K58&lt;-G17,K58,-G17)</f>
        <v>0</v>
      </c>
      <c r="I18" s="628">
        <f>IF(L58&lt;-I17,L58,-I17)</f>
        <v>0</v>
      </c>
      <c r="T18" s="626"/>
      <c r="U18" s="626"/>
      <c r="V18" s="626"/>
      <c r="W18" s="626"/>
    </row>
    <row r="19" spans="1:23" ht="15" customHeight="1">
      <c r="C19" s="2294" t="s">
        <v>2336</v>
      </c>
      <c r="D19" s="2294"/>
      <c r="E19" s="629">
        <f>SUM(E9:E18)</f>
        <v>0</v>
      </c>
      <c r="F19" s="1192"/>
      <c r="G19" s="629">
        <f>SUM(G9:G18)</f>
        <v>0</v>
      </c>
      <c r="H19" s="1192"/>
      <c r="I19" s="629">
        <f>SUM(I9:I18)</f>
        <v>0</v>
      </c>
      <c r="T19" s="626"/>
      <c r="U19" s="626"/>
      <c r="V19" s="626"/>
      <c r="W19" s="626"/>
    </row>
    <row r="20" spans="1:23" ht="15" customHeight="1">
      <c r="A20" s="1189" t="s">
        <v>113</v>
      </c>
      <c r="B20" s="2295" t="s">
        <v>351</v>
      </c>
      <c r="C20" s="2295"/>
      <c r="D20" s="2295"/>
      <c r="T20" s="626"/>
      <c r="U20" s="626"/>
      <c r="V20" s="626"/>
      <c r="W20" s="626"/>
    </row>
    <row r="21" spans="1:23" ht="15" customHeight="1" thickBot="1">
      <c r="A21" s="626"/>
      <c r="B21" s="1130">
        <v>1</v>
      </c>
      <c r="C21" s="2294" t="s">
        <v>2337</v>
      </c>
      <c r="D21" s="2294"/>
      <c r="E21" s="618">
        <f>TRUNC(E19)</f>
        <v>0</v>
      </c>
      <c r="G21" s="618">
        <f>TRUNC(G19)</f>
        <v>0</v>
      </c>
      <c r="I21" s="618">
        <f>TRUNC(I19)</f>
        <v>0</v>
      </c>
      <c r="T21" s="626"/>
      <c r="U21" s="626"/>
      <c r="V21" s="626"/>
      <c r="W21" s="626"/>
    </row>
    <row r="22" spans="1:23" ht="26.1" customHeight="1" thickTop="1">
      <c r="A22" s="1132"/>
      <c r="B22" s="1132">
        <v>2</v>
      </c>
      <c r="C22" s="2293" t="s">
        <v>2322</v>
      </c>
      <c r="D22" s="2293"/>
      <c r="E22" s="625"/>
      <c r="F22" s="1193"/>
      <c r="G22" s="621">
        <f>+'FORM 1040-5'!D28</f>
        <v>0</v>
      </c>
      <c r="I22" s="621">
        <f>+'FORM 1040-5'!F28</f>
        <v>0</v>
      </c>
      <c r="V22" s="626"/>
      <c r="W22" s="626"/>
    </row>
    <row r="23" spans="1:23" ht="15" customHeight="1">
      <c r="A23" s="1130"/>
      <c r="B23" s="1130">
        <v>3</v>
      </c>
      <c r="C23" s="2293" t="s">
        <v>398</v>
      </c>
      <c r="D23" s="2293"/>
      <c r="E23" s="625"/>
      <c r="F23" s="1193"/>
      <c r="G23" s="621">
        <f>+'FORM 1040-5'!D29</f>
        <v>0</v>
      </c>
      <c r="I23" s="621">
        <f>+'FORM 1040-5'!F29</f>
        <v>0</v>
      </c>
      <c r="V23" s="626"/>
      <c r="W23" s="626"/>
    </row>
    <row r="24" spans="1:23" ht="15" customHeight="1">
      <c r="A24" s="1130"/>
      <c r="B24" s="1130">
        <v>4</v>
      </c>
      <c r="C24" s="2293" t="s">
        <v>399</v>
      </c>
      <c r="D24" s="2293"/>
      <c r="E24" s="625"/>
      <c r="F24" s="1193"/>
      <c r="G24" s="621">
        <f>+'FORM 1040-5'!D30</f>
        <v>0</v>
      </c>
      <c r="I24" s="621">
        <f>+'FORM 1040-5'!F30</f>
        <v>0</v>
      </c>
      <c r="V24" s="626"/>
      <c r="W24" s="626"/>
    </row>
    <row r="25" spans="1:23" ht="15" customHeight="1">
      <c r="A25" s="1130"/>
      <c r="B25" s="1130">
        <v>5</v>
      </c>
      <c r="C25" s="2293" t="s">
        <v>400</v>
      </c>
      <c r="D25" s="2293"/>
      <c r="E25" s="625"/>
      <c r="F25" s="1193"/>
      <c r="G25" s="621">
        <f>+'FORM 1040-5'!D31</f>
        <v>0</v>
      </c>
      <c r="I25" s="621">
        <f>+'FORM 1040-5'!F31</f>
        <v>0</v>
      </c>
      <c r="V25" s="626"/>
      <c r="W25" s="626"/>
    </row>
    <row r="26" spans="1:23" ht="15" customHeight="1">
      <c r="A26" s="1130"/>
      <c r="B26" s="1130">
        <v>6</v>
      </c>
      <c r="C26" s="2293" t="s">
        <v>401</v>
      </c>
      <c r="D26" s="2293"/>
      <c r="E26" s="625"/>
      <c r="F26" s="1193"/>
      <c r="G26" s="621">
        <f>+'FORM 1040-5'!D32</f>
        <v>0</v>
      </c>
      <c r="I26" s="621">
        <f>+'FORM 1040-5'!F32</f>
        <v>0</v>
      </c>
      <c r="V26" s="626"/>
      <c r="W26" s="626"/>
    </row>
    <row r="27" spans="1:23" ht="15" customHeight="1" thickBot="1">
      <c r="A27" s="1130"/>
      <c r="B27" s="1130">
        <v>7</v>
      </c>
      <c r="C27" s="2293" t="s">
        <v>2317</v>
      </c>
      <c r="D27" s="2293"/>
      <c r="E27" s="625"/>
      <c r="F27" s="1193"/>
      <c r="G27" s="619">
        <f>SUM(G22:G26)</f>
        <v>0</v>
      </c>
      <c r="I27" s="619">
        <f>SUM(I22:I26)</f>
        <v>0</v>
      </c>
      <c r="M27" s="626"/>
      <c r="V27" s="626"/>
      <c r="W27" s="626"/>
    </row>
    <row r="28" spans="1:23" ht="27.95" customHeight="1" thickTop="1" thickBot="1">
      <c r="A28" s="1132"/>
      <c r="B28" s="1132">
        <v>8</v>
      </c>
      <c r="C28" s="2293" t="s">
        <v>2318</v>
      </c>
      <c r="D28" s="2293"/>
      <c r="E28" s="625"/>
      <c r="F28" s="1193"/>
      <c r="G28" s="620">
        <f>+G21-G27</f>
        <v>0</v>
      </c>
      <c r="I28" s="620">
        <f>+I21-I27</f>
        <v>0</v>
      </c>
      <c r="M28" s="626"/>
      <c r="V28" s="626"/>
      <c r="W28" s="626"/>
    </row>
    <row r="29" spans="1:23" ht="15" customHeight="1" thickTop="1">
      <c r="A29" s="1130"/>
      <c r="B29" s="1130">
        <v>9</v>
      </c>
      <c r="C29" s="2293" t="s">
        <v>2323</v>
      </c>
      <c r="D29" s="2293"/>
      <c r="E29" s="625"/>
      <c r="F29" s="1193"/>
      <c r="G29" s="621">
        <f>IF('FORM 1040-5'!D7&gt;0,TRUNC(G28*0.3),0)</f>
        <v>0</v>
      </c>
      <c r="I29" s="625" t="s">
        <v>153</v>
      </c>
      <c r="V29" s="626"/>
      <c r="W29" s="626"/>
    </row>
    <row r="30" spans="1:23" ht="27.95" customHeight="1" thickBot="1">
      <c r="A30" s="1132"/>
      <c r="B30" s="1132">
        <v>10</v>
      </c>
      <c r="C30" s="2293" t="s">
        <v>2320</v>
      </c>
      <c r="D30" s="2293"/>
      <c r="E30" s="625"/>
      <c r="F30" s="1193"/>
      <c r="G30" s="619">
        <f>+G28+G29</f>
        <v>0</v>
      </c>
      <c r="I30" s="619">
        <f>+I28</f>
        <v>0</v>
      </c>
      <c r="V30" s="626"/>
      <c r="W30" s="626"/>
    </row>
    <row r="31" spans="1:23" ht="15" customHeight="1" thickTop="1">
      <c r="A31" s="1102" t="s">
        <v>138</v>
      </c>
      <c r="B31" s="2295" t="s">
        <v>403</v>
      </c>
      <c r="C31" s="2295"/>
      <c r="D31" s="2295"/>
      <c r="V31" s="626"/>
      <c r="W31" s="626"/>
    </row>
    <row r="32" spans="1:23" ht="15" customHeight="1">
      <c r="A32" s="1130"/>
      <c r="B32" s="1130">
        <v>1</v>
      </c>
      <c r="C32" s="2293" t="s">
        <v>2321</v>
      </c>
      <c r="D32" s="2293"/>
      <c r="E32" s="625"/>
      <c r="F32" s="1193"/>
      <c r="G32" s="621">
        <f>+G30</f>
        <v>0</v>
      </c>
      <c r="I32" s="621">
        <f>+I30</f>
        <v>0</v>
      </c>
      <c r="V32" s="626"/>
      <c r="W32" s="626"/>
    </row>
    <row r="33" spans="1:23" ht="15" customHeight="1">
      <c r="A33" s="1130"/>
      <c r="B33" s="1130">
        <v>2</v>
      </c>
      <c r="C33" s="2293" t="s">
        <v>2286</v>
      </c>
      <c r="D33" s="2293"/>
      <c r="E33" s="625"/>
      <c r="F33" s="1193"/>
      <c r="G33" s="630">
        <f>+'FORM 1040-5'!D42</f>
        <v>0</v>
      </c>
      <c r="H33" s="1195"/>
      <c r="I33" s="630">
        <f>+G33</f>
        <v>0</v>
      </c>
      <c r="V33" s="626"/>
      <c r="W33" s="626"/>
    </row>
    <row r="34" spans="1:23" ht="15" customHeight="1" thickBot="1">
      <c r="A34" s="1130"/>
      <c r="B34" s="1130">
        <v>3</v>
      </c>
      <c r="C34" s="2293" t="s">
        <v>1607</v>
      </c>
      <c r="D34" s="2293"/>
      <c r="E34" s="625"/>
      <c r="F34" s="1193"/>
      <c r="G34" s="619">
        <f>+G32*G33</f>
        <v>0</v>
      </c>
      <c r="I34" s="619">
        <f>+I32*I33</f>
        <v>0</v>
      </c>
      <c r="V34" s="626"/>
      <c r="W34" s="626"/>
    </row>
    <row r="35" spans="1:23" ht="15" customHeight="1" thickTop="1">
      <c r="A35" s="1102" t="s">
        <v>140</v>
      </c>
      <c r="B35" s="2295" t="s">
        <v>405</v>
      </c>
      <c r="C35" s="2295"/>
      <c r="D35" s="2295"/>
      <c r="V35" s="626"/>
      <c r="W35" s="626"/>
    </row>
    <row r="36" spans="1:23" ht="15" customHeight="1">
      <c r="A36" s="1130"/>
      <c r="B36" s="1130">
        <v>1</v>
      </c>
      <c r="C36" s="2293" t="s">
        <v>2287</v>
      </c>
      <c r="D36" s="2293"/>
      <c r="E36" s="625"/>
      <c r="F36" s="1193"/>
      <c r="G36" s="621">
        <f>+G34</f>
        <v>0</v>
      </c>
      <c r="I36" s="621">
        <f>+I34</f>
        <v>0</v>
      </c>
      <c r="V36" s="626"/>
      <c r="W36" s="626"/>
    </row>
    <row r="37" spans="1:23" ht="15" customHeight="1">
      <c r="A37" s="1130"/>
      <c r="B37" s="1130">
        <v>2</v>
      </c>
      <c r="C37" s="2293" t="s">
        <v>1608</v>
      </c>
      <c r="D37" s="2293"/>
      <c r="E37" s="625"/>
      <c r="F37" s="1193"/>
      <c r="G37" s="631">
        <f>+'FORM 1040-5'!D50</f>
        <v>0</v>
      </c>
      <c r="H37" s="1196"/>
      <c r="I37" s="631">
        <f>+'FORM 1040-5'!F50</f>
        <v>0</v>
      </c>
      <c r="V37" s="626"/>
      <c r="W37" s="626"/>
    </row>
    <row r="38" spans="1:23" ht="15" customHeight="1" thickBot="1">
      <c r="A38" s="1130"/>
      <c r="B38" s="1130">
        <v>3</v>
      </c>
      <c r="C38" s="2293" t="s">
        <v>1609</v>
      </c>
      <c r="D38" s="2293"/>
      <c r="E38" s="625"/>
      <c r="F38" s="1193"/>
      <c r="G38" s="621">
        <f>TRUNC(G36*G37)</f>
        <v>0</v>
      </c>
      <c r="I38" s="621">
        <f>TRUNC(I36*I37)</f>
        <v>0</v>
      </c>
      <c r="J38" s="632"/>
      <c r="V38" s="626"/>
      <c r="W38" s="626"/>
    </row>
    <row r="39" spans="1:23" ht="15" customHeight="1" thickBot="1">
      <c r="C39" s="2294" t="s">
        <v>2288</v>
      </c>
      <c r="D39" s="2294"/>
      <c r="I39" s="1188">
        <f>+I38+G38</f>
        <v>0</v>
      </c>
    </row>
    <row r="40" spans="1:23">
      <c r="K40" s="621">
        <f>SUM(G9:I9)</f>
        <v>0</v>
      </c>
      <c r="L40" s="621" t="s">
        <v>1614</v>
      </c>
    </row>
    <row r="41" spans="1:23">
      <c r="K41" s="635">
        <f>IF(ISERROR(+G9/K40),0,+G9/K40)</f>
        <v>0</v>
      </c>
      <c r="L41" s="621" t="s">
        <v>1615</v>
      </c>
    </row>
    <row r="42" spans="1:23">
      <c r="K42" s="635">
        <f>IF(ISERROR(+I9/K40),0,+I9/K40)</f>
        <v>0</v>
      </c>
      <c r="L42" s="621" t="s">
        <v>1616</v>
      </c>
    </row>
    <row r="43" spans="1:23" ht="13.5" thickBot="1"/>
    <row r="44" spans="1:23" ht="13.5" thickTop="1">
      <c r="K44" s="2296" t="s">
        <v>2025</v>
      </c>
      <c r="L44" s="2297"/>
    </row>
    <row r="45" spans="1:23">
      <c r="K45" s="2298"/>
      <c r="L45" s="2299"/>
    </row>
    <row r="46" spans="1:23">
      <c r="K46" s="2298"/>
      <c r="L46" s="2299"/>
    </row>
    <row r="47" spans="1:23">
      <c r="K47" s="2298"/>
      <c r="L47" s="2299"/>
    </row>
    <row r="48" spans="1:23" ht="13.5" thickBot="1">
      <c r="K48" s="9"/>
      <c r="L48" s="1144" t="str">
        <f>IF('FORM 1040-3'!K30="","",'FORM 1040-3'!K30)</f>
        <v/>
      </c>
    </row>
    <row r="49" spans="11:12" ht="13.5" thickTop="1">
      <c r="K49" s="2300" t="s">
        <v>2409</v>
      </c>
      <c r="L49" s="1725"/>
    </row>
    <row r="50" spans="11:12">
      <c r="K50" s="2301"/>
      <c r="L50" s="1727"/>
    </row>
    <row r="51" spans="11:12">
      <c r="K51" s="2301"/>
      <c r="L51" s="1727"/>
    </row>
    <row r="52" spans="11:12">
      <c r="K52" s="2301"/>
      <c r="L52" s="1727"/>
    </row>
    <row r="53" spans="11:12" ht="13.5" thickBot="1">
      <c r="K53" s="1127"/>
      <c r="L53" s="1144" t="str">
        <f>IF('FORM 1040-3'!K34="","",'FORM 1040-3'!K34)</f>
        <v/>
      </c>
    </row>
    <row r="54" spans="11:12" ht="13.5" thickTop="1">
      <c r="K54" s="1077"/>
      <c r="L54" s="1077"/>
    </row>
    <row r="55" spans="11:12" ht="13.5" thickBot="1">
      <c r="K55" s="626"/>
      <c r="L55" s="626"/>
    </row>
    <row r="56" spans="11:12" ht="13.5" thickTop="1">
      <c r="K56" s="1717" t="s">
        <v>580</v>
      </c>
      <c r="L56" s="1718"/>
    </row>
    <row r="57" spans="11:12" ht="25.5">
      <c r="K57" s="1084" t="s">
        <v>1623</v>
      </c>
      <c r="L57" s="1085" t="s">
        <v>1622</v>
      </c>
    </row>
    <row r="58" spans="11:12" ht="13.5" thickBot="1">
      <c r="K58" s="667">
        <f>IF((AND(L48="NO",L53="NO")),L67,IF((AND(L48="NO",L53="YES")),L69,IF((AND(L48="YES",L53="NO")),L70,IF((AND(L48="YES",L53="YES")),L72,0))))</f>
        <v>0</v>
      </c>
      <c r="L58" s="666">
        <f>TRUNC((+L63+I17-'FORM 1040-4'!H21-'PROP COST ANALYSIS - FUND USE'!D46)*0.1)</f>
        <v>0</v>
      </c>
    </row>
    <row r="59" spans="11:12" ht="13.5" thickTop="1">
      <c r="K59" s="626"/>
      <c r="L59" s="626"/>
    </row>
    <row r="61" spans="11:12">
      <c r="K61" s="625" t="s">
        <v>2285</v>
      </c>
      <c r="L61" s="625" t="s">
        <v>2285</v>
      </c>
    </row>
    <row r="62" spans="11:12">
      <c r="K62" s="625" t="s">
        <v>2283</v>
      </c>
      <c r="L62" s="625" t="s">
        <v>2284</v>
      </c>
    </row>
    <row r="63" spans="11:12">
      <c r="K63" s="625">
        <f>SUM(G9:G16)</f>
        <v>0</v>
      </c>
      <c r="L63" s="625">
        <f>SUM(I9:I16)</f>
        <v>0</v>
      </c>
    </row>
    <row r="66" spans="11:12" ht="13.5" thickBot="1"/>
    <row r="67" spans="11:12">
      <c r="K67" s="648">
        <v>0.18</v>
      </c>
      <c r="L67" s="649">
        <f>TRUNC((+K63+G17-'FORM 1040-4'!F21-'PROP COST ANALYSIS - FUND USE'!D45)*0.18)</f>
        <v>0</v>
      </c>
    </row>
    <row r="68" spans="11:12">
      <c r="K68" s="650">
        <v>0.22</v>
      </c>
      <c r="L68" s="651">
        <f>TRUNC(((+K63+G17-'FORM 1040-4'!F21-'PROP COST ANALYSIS - FUND USE'!D45)*0.22)-'FORM 1040-3'!F22)</f>
        <v>0</v>
      </c>
    </row>
    <row r="69" spans="11:12">
      <c r="K69" s="652" t="s">
        <v>1624</v>
      </c>
      <c r="L69" s="653">
        <f>MIN(L67:L68)</f>
        <v>0</v>
      </c>
    </row>
    <row r="70" spans="11:12">
      <c r="K70" s="654">
        <v>0.15</v>
      </c>
      <c r="L70" s="655">
        <f>TRUNC((+K63+G17-'FORM 1040-4'!F21-'PROP COST ANALYSIS - FUND USE'!D45)*0.15)</f>
        <v>0</v>
      </c>
    </row>
    <row r="71" spans="11:12">
      <c r="K71" s="650">
        <v>0.18</v>
      </c>
      <c r="L71" s="651">
        <f>TRUNC(((+K63+G17-'FORM 1040-4'!F21-'PROP COST ANALYSIS - FUND USE'!D45)*0.18)-'FORM 1040-3'!F22)</f>
        <v>0</v>
      </c>
    </row>
    <row r="72" spans="11:12" ht="13.5" thickBot="1">
      <c r="K72" s="1128" t="s">
        <v>1624</v>
      </c>
      <c r="L72" s="1129">
        <f>MIN(L70:L71)</f>
        <v>0</v>
      </c>
    </row>
    <row r="73" spans="11:12">
      <c r="K73" s="626"/>
      <c r="L73" s="626"/>
    </row>
    <row r="80" spans="11:12">
      <c r="K80" s="626"/>
      <c r="L80" s="626"/>
    </row>
    <row r="81" spans="11:12">
      <c r="K81" s="626"/>
      <c r="L81" s="626"/>
    </row>
    <row r="82" spans="11:12">
      <c r="K82" s="626"/>
      <c r="L82" s="626"/>
    </row>
    <row r="83" spans="11:12">
      <c r="K83" s="626"/>
      <c r="L83" s="626"/>
    </row>
    <row r="84" spans="11:12">
      <c r="K84" s="626"/>
      <c r="L84" s="626"/>
    </row>
    <row r="85" spans="11:12">
      <c r="K85" s="626"/>
      <c r="L85" s="626"/>
    </row>
    <row r="86" spans="11:12">
      <c r="K86" s="626"/>
      <c r="L86" s="626"/>
    </row>
    <row r="87" spans="11:12">
      <c r="K87" s="626"/>
      <c r="L87" s="626"/>
    </row>
    <row r="88" spans="11:12">
      <c r="K88" s="626"/>
      <c r="L88" s="626"/>
    </row>
    <row r="89" spans="11:12">
      <c r="K89" s="626"/>
      <c r="L89" s="626"/>
    </row>
    <row r="90" spans="11:12">
      <c r="K90" s="626"/>
      <c r="L90" s="626"/>
    </row>
    <row r="91" spans="11:12">
      <c r="K91" s="626"/>
      <c r="L91" s="626"/>
    </row>
    <row r="92" spans="11:12">
      <c r="K92" s="626"/>
      <c r="L92" s="626"/>
    </row>
    <row r="93" spans="11:12">
      <c r="K93" s="626"/>
      <c r="L93" s="626"/>
    </row>
    <row r="94" spans="11:12">
      <c r="K94" s="626"/>
      <c r="L94" s="626"/>
    </row>
    <row r="95" spans="11:12">
      <c r="K95" s="626"/>
      <c r="L95" s="626"/>
    </row>
    <row r="96" spans="11:12">
      <c r="K96" s="626"/>
      <c r="L96" s="626"/>
    </row>
    <row r="97" spans="11:12">
      <c r="K97" s="626"/>
      <c r="L97" s="626"/>
    </row>
    <row r="98" spans="11:12">
      <c r="K98" s="626"/>
      <c r="L98" s="626"/>
    </row>
    <row r="99" spans="11:12">
      <c r="K99" s="626"/>
      <c r="L99" s="626"/>
    </row>
    <row r="100" spans="11:12">
      <c r="K100" s="626"/>
      <c r="L100" s="626"/>
    </row>
    <row r="101" spans="11:12">
      <c r="K101" s="626"/>
      <c r="L101" s="626"/>
    </row>
    <row r="102" spans="11:12">
      <c r="K102" s="626"/>
      <c r="L102" s="626"/>
    </row>
    <row r="103" spans="11:12">
      <c r="K103" s="626"/>
      <c r="L103" s="626"/>
    </row>
    <row r="104" spans="11:12">
      <c r="K104" s="626"/>
      <c r="L104" s="626"/>
    </row>
    <row r="105" spans="11:12">
      <c r="K105" s="626"/>
      <c r="L105" s="626"/>
    </row>
    <row r="106" spans="11:12">
      <c r="K106" s="626"/>
      <c r="L106" s="626"/>
    </row>
    <row r="107" spans="11:12">
      <c r="K107" s="626"/>
      <c r="L107" s="626"/>
    </row>
    <row r="108" spans="11:12">
      <c r="K108" s="626"/>
      <c r="L108" s="626"/>
    </row>
    <row r="109" spans="11:12">
      <c r="K109" s="626"/>
      <c r="L109" s="626"/>
    </row>
    <row r="110" spans="11:12">
      <c r="K110" s="626"/>
      <c r="L110" s="626"/>
    </row>
    <row r="111" spans="11:12">
      <c r="K111" s="626"/>
      <c r="L111" s="626"/>
    </row>
    <row r="112" spans="11:12">
      <c r="K112" s="626"/>
      <c r="L112" s="626"/>
    </row>
    <row r="113" spans="11:12">
      <c r="K113" s="626"/>
      <c r="L113" s="626"/>
    </row>
    <row r="114" spans="11:12">
      <c r="K114" s="632"/>
      <c r="L114" s="632"/>
    </row>
  </sheetData>
  <sheetProtection algorithmName="SHA-512" hashValue="WnY+KhwKqcUMuGbOyBo5JDAuFVQh1yOZ5whbx2ez7djzc4SvqyLgi7xjTjtu6WQUq/eso3pwdyOMvL50YwyoFA==" saltValue="fgMgURNjD2uyhNkefLkOhQ==" spinCount="100000" sheet="1" objects="1" scenarios="1"/>
  <mergeCells count="41">
    <mergeCell ref="A10:D10"/>
    <mergeCell ref="B9:D9"/>
    <mergeCell ref="C25:D25"/>
    <mergeCell ref="A1:C1"/>
    <mergeCell ref="A3:C3"/>
    <mergeCell ref="A4:C4"/>
    <mergeCell ref="A5:C5"/>
    <mergeCell ref="A6:C6"/>
    <mergeCell ref="A2:C2"/>
    <mergeCell ref="K44:L47"/>
    <mergeCell ref="K49:L52"/>
    <mergeCell ref="K56:L56"/>
    <mergeCell ref="C8:D8"/>
    <mergeCell ref="C16:D16"/>
    <mergeCell ref="C17:D17"/>
    <mergeCell ref="C18:D18"/>
    <mergeCell ref="C19:D19"/>
    <mergeCell ref="C14:D14"/>
    <mergeCell ref="C15:D15"/>
    <mergeCell ref="C29:D29"/>
    <mergeCell ref="C30:D30"/>
    <mergeCell ref="C21:D21"/>
    <mergeCell ref="C22:D22"/>
    <mergeCell ref="C23:D23"/>
    <mergeCell ref="C24:D24"/>
    <mergeCell ref="C37:D37"/>
    <mergeCell ref="C38:D38"/>
    <mergeCell ref="C39:D39"/>
    <mergeCell ref="C11:D11"/>
    <mergeCell ref="C12:D12"/>
    <mergeCell ref="C13:D13"/>
    <mergeCell ref="C32:D32"/>
    <mergeCell ref="C33:D33"/>
    <mergeCell ref="C34:D34"/>
    <mergeCell ref="C36:D36"/>
    <mergeCell ref="C26:D26"/>
    <mergeCell ref="C27:D27"/>
    <mergeCell ref="C28:D28"/>
    <mergeCell ref="B31:D31"/>
    <mergeCell ref="B35:D35"/>
    <mergeCell ref="B20:D20"/>
  </mergeCells>
  <printOptions horizontalCentered="1" verticalCentered="1" gridLines="1"/>
  <pageMargins left="0.5" right="0.5" top="0.75" bottom="0.75" header="0" footer="0.5"/>
  <pageSetup scale="85" orientation="portrait" r:id="rId1"/>
  <headerFooter alignWithMargins="0">
    <oddFooter>&amp;C&amp;A&amp;R&amp;D &amp;T</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6">
    <pageSetUpPr fitToPage="1"/>
  </sheetPr>
  <dimension ref="A1:G83"/>
  <sheetViews>
    <sheetView workbookViewId="0">
      <selection sqref="A1:B1"/>
    </sheetView>
  </sheetViews>
  <sheetFormatPr defaultColWidth="22.140625" defaultRowHeight="12.75"/>
  <cols>
    <col min="1" max="1" width="56.85546875" style="589" customWidth="1"/>
    <col min="2" max="2" width="30.7109375" style="588" customWidth="1"/>
    <col min="3" max="4" width="22.140625" style="588"/>
    <col min="5" max="5" width="15.7109375" style="588" customWidth="1"/>
    <col min="6" max="6" width="24" style="588" bestFit="1" customWidth="1"/>
    <col min="7" max="7" width="20.42578125" style="588" customWidth="1"/>
    <col min="8" max="16384" width="22.140625" style="588"/>
  </cols>
  <sheetData>
    <row r="1" spans="1:4">
      <c r="A1" s="2311" t="s">
        <v>35</v>
      </c>
      <c r="B1" s="2311"/>
    </row>
    <row r="2" spans="1:4">
      <c r="A2" s="2311" t="s">
        <v>36</v>
      </c>
      <c r="B2" s="2311"/>
    </row>
    <row r="3" spans="1:4" ht="13.5" thickBot="1">
      <c r="A3" s="2311" t="s">
        <v>1587</v>
      </c>
      <c r="B3" s="2311"/>
    </row>
    <row r="4" spans="1:4" ht="13.5" thickBot="1">
      <c r="A4" s="562"/>
      <c r="B4" s="615" t="s">
        <v>1019</v>
      </c>
    </row>
    <row r="5" spans="1:4">
      <c r="A5" s="564" t="s">
        <v>1544</v>
      </c>
      <c r="B5" s="1135"/>
    </row>
    <row r="6" spans="1:4">
      <c r="A6" s="564" t="s">
        <v>1545</v>
      </c>
      <c r="B6" s="1136"/>
    </row>
    <row r="7" spans="1:4">
      <c r="A7" s="564" t="s">
        <v>1546</v>
      </c>
      <c r="B7" s="1137"/>
    </row>
    <row r="8" spans="1:4" s="1134" customFormat="1" ht="26.1" customHeight="1" thickBot="1">
      <c r="A8" s="1118" t="s">
        <v>1548</v>
      </c>
      <c r="B8" s="1295" t="str">
        <f>IF('FORM 1040-1'!E12="","",'FORM 1040-1'!E12)</f>
        <v/>
      </c>
    </row>
    <row r="9" spans="1:4">
      <c r="A9" s="597" t="s">
        <v>1560</v>
      </c>
      <c r="B9" s="601" t="str">
        <f>IF('FORM 1040-1'!D15="","",('FORM 1040-1'!D15))</f>
        <v/>
      </c>
    </row>
    <row r="10" spans="1:4">
      <c r="A10" s="583" t="s">
        <v>1517</v>
      </c>
      <c r="B10" s="602">
        <f>IF('FORM 1040-27'!L21="","",('FORM 1040-27'!L21))</f>
        <v>0</v>
      </c>
    </row>
    <row r="11" spans="1:4">
      <c r="A11" s="589" t="s">
        <v>1576</v>
      </c>
      <c r="B11" s="603" t="str">
        <f>IF('FORM 1040-7'!I28="","",('FORM 1040-7'!I28))</f>
        <v/>
      </c>
    </row>
    <row r="12" spans="1:4" ht="6" customHeight="1">
      <c r="B12" s="591"/>
    </row>
    <row r="13" spans="1:4">
      <c r="A13" s="589" t="s">
        <v>1577</v>
      </c>
      <c r="B13" s="604">
        <f>IF('FORM 1040-3'!D42="","",('FORM 1040-3'!D42))</f>
        <v>0</v>
      </c>
    </row>
    <row r="14" spans="1:4" ht="6" customHeight="1">
      <c r="B14" s="591"/>
    </row>
    <row r="15" spans="1:4">
      <c r="A15" s="589" t="s">
        <v>2295</v>
      </c>
      <c r="B15" s="591">
        <f>+'PROPERTY COST ADJ - FUND USE'!E11+'PROPERTY COST ADJ - FUND USE'!E12+'PROPERTY COST ADJ - FUND USE'!E13+'PROPERTY COST ADJ - FUND USE'!E14+'PROPERTY COST ADJ - FUND USE'!E15+'PROPERTY COST ADJ - FUND USE'!E16+'PROPERTY COST ADJ - FUND USE'!E17+'PROPERTY COST ADJ - FUND USE'!E18</f>
        <v>0</v>
      </c>
      <c r="D15" s="617"/>
    </row>
    <row r="16" spans="1:4" ht="6" customHeight="1">
      <c r="B16" s="591"/>
    </row>
    <row r="17" spans="1:3">
      <c r="A17" s="589" t="s">
        <v>1578</v>
      </c>
      <c r="B17" s="591">
        <f>SUM(B13:B16)</f>
        <v>0</v>
      </c>
    </row>
    <row r="18" spans="1:3" ht="6" customHeight="1">
      <c r="B18" s="591"/>
    </row>
    <row r="19" spans="1:3">
      <c r="A19" s="589" t="s">
        <v>1579</v>
      </c>
      <c r="B19" s="591"/>
    </row>
    <row r="20" spans="1:3">
      <c r="A20" s="599" t="str">
        <f>IF('FORM 1040-8'!D12="","",('FORM 1040-8'!D12))</f>
        <v/>
      </c>
      <c r="B20" s="604" t="str">
        <f>IF('FORM 1040-8'!R12="","",('FORM 1040-8'!R12))</f>
        <v/>
      </c>
      <c r="C20" s="600"/>
    </row>
    <row r="21" spans="1:3">
      <c r="A21" s="599" t="str">
        <f>IF('FORM 1040-8'!D13="","",('FORM 1040-8'!D13))</f>
        <v/>
      </c>
      <c r="B21" s="604" t="str">
        <f>IF('FORM 1040-8'!R13="","",('FORM 1040-8'!R13))</f>
        <v/>
      </c>
      <c r="C21" s="600"/>
    </row>
    <row r="22" spans="1:3">
      <c r="A22" s="599" t="str">
        <f>IF('FORM 1040-8'!D14="","",('FORM 1040-8'!D14))</f>
        <v/>
      </c>
      <c r="B22" s="604" t="str">
        <f>IF('FORM 1040-8'!R14="","",('FORM 1040-8'!R14))</f>
        <v/>
      </c>
      <c r="C22" s="600"/>
    </row>
    <row r="23" spans="1:3">
      <c r="A23" s="599" t="str">
        <f>IF('FORM 1040-8'!D15="","",('FORM 1040-8'!D15))</f>
        <v/>
      </c>
      <c r="B23" s="604" t="str">
        <f>IF('FORM 1040-8'!R15="","",('FORM 1040-8'!R15))</f>
        <v/>
      </c>
      <c r="C23" s="600"/>
    </row>
    <row r="24" spans="1:3">
      <c r="A24" s="599" t="str">
        <f>IF('FORM 1040-8'!D16="","",('FORM 1040-8'!D16))</f>
        <v/>
      </c>
      <c r="B24" s="604" t="str">
        <f>IF('FORM 1040-8'!R16="","",('FORM 1040-8'!R16))</f>
        <v/>
      </c>
      <c r="C24" s="600"/>
    </row>
    <row r="25" spans="1:3">
      <c r="A25" s="599" t="str">
        <f>IF('FORM 1040-8'!D17="","",('FORM 1040-8'!D17))</f>
        <v/>
      </c>
      <c r="B25" s="604" t="str">
        <f>IF('FORM 1040-8'!R17="","",('FORM 1040-8'!R17))</f>
        <v/>
      </c>
      <c r="C25" s="600"/>
    </row>
    <row r="26" spans="1:3">
      <c r="A26" s="599" t="s">
        <v>2290</v>
      </c>
      <c r="B26" s="604" t="str">
        <f>IF('FORM 1040-8'!R18="","",('FORM 1040-8'!R18))</f>
        <v/>
      </c>
      <c r="C26" s="600"/>
    </row>
    <row r="27" spans="1:3">
      <c r="A27" s="599" t="s">
        <v>2291</v>
      </c>
      <c r="B27" s="604" t="str">
        <f>IF('FORM 1040-8'!R19="","",('FORM 1040-8'!R19))</f>
        <v/>
      </c>
      <c r="C27" s="600"/>
    </row>
    <row r="28" spans="1:3">
      <c r="A28" s="599" t="s">
        <v>2292</v>
      </c>
      <c r="B28" s="604" t="str">
        <f>IF('FORM 1040-8'!R20="","",('FORM 1040-8'!R20))</f>
        <v/>
      </c>
      <c r="C28" s="600"/>
    </row>
    <row r="29" spans="1:3">
      <c r="A29" s="599" t="s">
        <v>2293</v>
      </c>
      <c r="B29" s="604" t="str">
        <f>IF('FORM 1040-8'!R21="","",('FORM 1040-8'!R21))</f>
        <v/>
      </c>
      <c r="C29" s="600"/>
    </row>
    <row r="30" spans="1:3">
      <c r="A30" s="599" t="s">
        <v>2294</v>
      </c>
      <c r="B30" s="604" t="str">
        <f>IF('FORM 1040-8'!R22="","",('FORM 1040-8'!R22))</f>
        <v/>
      </c>
      <c r="C30" s="600"/>
    </row>
    <row r="31" spans="1:3">
      <c r="A31" s="599" t="s">
        <v>639</v>
      </c>
      <c r="B31" s="604" t="str">
        <f>IF('FORM 1040-8'!R23="","",('FORM 1040-8'!R23))</f>
        <v/>
      </c>
      <c r="C31" s="600"/>
    </row>
    <row r="32" spans="1:3">
      <c r="A32" s="599" t="s">
        <v>1898</v>
      </c>
      <c r="B32" s="604" t="str">
        <f>IF('FORM 1040-8'!R24="","",('FORM 1040-8'!R24))</f>
        <v/>
      </c>
      <c r="C32" s="600"/>
    </row>
    <row r="33" spans="1:3">
      <c r="A33" s="599" t="s">
        <v>637</v>
      </c>
      <c r="B33" s="604" t="str">
        <f>IF('FORM 1040-8'!R25="","",('FORM 1040-8'!R25))</f>
        <v/>
      </c>
      <c r="C33" s="600"/>
    </row>
    <row r="34" spans="1:3">
      <c r="A34" s="599" t="s">
        <v>638</v>
      </c>
      <c r="B34" s="604" t="str">
        <f>IF('FORM 1040-8'!R26="","",('FORM 1040-8'!R26))</f>
        <v/>
      </c>
      <c r="C34" s="600"/>
    </row>
    <row r="35" spans="1:3">
      <c r="A35" s="599" t="s">
        <v>2238</v>
      </c>
      <c r="B35" s="604" t="str">
        <f>IF('FORM 1040-8'!R27="","",('FORM 1040-8'!R27))</f>
        <v/>
      </c>
      <c r="C35" s="600"/>
    </row>
    <row r="36" spans="1:3">
      <c r="A36" s="589" t="s">
        <v>1580</v>
      </c>
      <c r="B36" s="591">
        <f>SUM(B20:B35)</f>
        <v>0</v>
      </c>
    </row>
    <row r="37" spans="1:3" ht="6" customHeight="1">
      <c r="B37" s="591"/>
    </row>
    <row r="38" spans="1:3">
      <c r="A38" s="589" t="s">
        <v>1581</v>
      </c>
      <c r="B38" s="591">
        <f>B17-B36</f>
        <v>0</v>
      </c>
    </row>
    <row r="39" spans="1:3" s="1199" customFormat="1" ht="6" customHeight="1">
      <c r="A39" s="1197"/>
      <c r="B39" s="1198"/>
    </row>
    <row r="40" spans="1:3" ht="25.5">
      <c r="A40" s="1200" t="s">
        <v>2341</v>
      </c>
      <c r="B40" s="592" t="e">
        <f>+'FORM 1040-7'!I34/('FORM 1040-7'!I27*'FORM 1040-7'!I28)</f>
        <v>#DIV/0!</v>
      </c>
    </row>
    <row r="41" spans="1:3" ht="6" customHeight="1">
      <c r="B41" s="593"/>
    </row>
    <row r="42" spans="1:3" ht="25.5">
      <c r="A42" s="1200" t="s">
        <v>2342</v>
      </c>
      <c r="B42" s="591" t="e">
        <f>B38/B40</f>
        <v>#DIV/0!</v>
      </c>
      <c r="C42" s="590"/>
    </row>
    <row r="43" spans="1:3" ht="6" customHeight="1">
      <c r="B43" s="591"/>
    </row>
    <row r="44" spans="1:3" ht="25.5">
      <c r="A44" s="1200" t="s">
        <v>2343</v>
      </c>
      <c r="B44" s="591" t="e">
        <f>B42/10</f>
        <v>#DIV/0!</v>
      </c>
    </row>
    <row r="45" spans="1:3" ht="6" customHeight="1" thickBot="1">
      <c r="B45" s="591"/>
    </row>
    <row r="46" spans="1:3" ht="26.25" thickBot="1">
      <c r="A46" s="1200" t="s">
        <v>2344</v>
      </c>
      <c r="B46" s="594" t="e">
        <f>+B44/B11</f>
        <v>#DIV/0!</v>
      </c>
    </row>
    <row r="47" spans="1:3" ht="6" customHeight="1">
      <c r="B47" s="591"/>
    </row>
    <row r="48" spans="1:3">
      <c r="A48" s="589" t="s">
        <v>1583</v>
      </c>
      <c r="B48" s="1264">
        <f>+'FORM 1040-5'!D51</f>
        <v>0</v>
      </c>
    </row>
    <row r="49" spans="1:2" ht="13.5" thickBot="1">
      <c r="A49" s="589" t="s">
        <v>1582</v>
      </c>
      <c r="B49" s="1264">
        <f>+'FORM 1040-5'!F51</f>
        <v>0</v>
      </c>
    </row>
    <row r="50" spans="1:2" ht="13.5" thickBot="1">
      <c r="A50" s="589" t="s">
        <v>1584</v>
      </c>
      <c r="B50" s="1265">
        <f>B49+B48</f>
        <v>0</v>
      </c>
    </row>
    <row r="51" spans="1:2" ht="6" customHeight="1" thickTop="1" thickBot="1">
      <c r="B51" s="591"/>
    </row>
    <row r="52" spans="1:2" ht="13.5" thickBot="1">
      <c r="A52" s="589" t="s">
        <v>1585</v>
      </c>
      <c r="B52" s="1266">
        <f>+'FORM 1040-7'!I26</f>
        <v>0</v>
      </c>
    </row>
    <row r="53" spans="1:2" ht="6" customHeight="1" thickBot="1">
      <c r="B53" s="590"/>
    </row>
    <row r="54" spans="1:2" ht="13.5" thickBot="1">
      <c r="A54" s="589" t="s">
        <v>2296</v>
      </c>
      <c r="B54" s="1267">
        <f>+'PROPERTY COST ADJ - FUND USE'!I39</f>
        <v>0</v>
      </c>
    </row>
    <row r="55" spans="1:2" ht="6" customHeight="1" thickBot="1">
      <c r="B55" s="591"/>
    </row>
    <row r="56" spans="1:2" ht="26.25" thickBot="1">
      <c r="A56" s="1200" t="s">
        <v>2302</v>
      </c>
      <c r="B56" s="1268"/>
    </row>
    <row r="57" spans="1:2" ht="6" customHeight="1" thickBot="1">
      <c r="B57" s="591"/>
    </row>
    <row r="58" spans="1:2" ht="26.25" thickBot="1">
      <c r="A58" s="1200" t="s">
        <v>2297</v>
      </c>
      <c r="B58" s="1268"/>
    </row>
    <row r="59" spans="1:2" ht="6" customHeight="1" thickBot="1">
      <c r="B59" s="591"/>
    </row>
    <row r="60" spans="1:2" ht="26.25" thickBot="1">
      <c r="A60" s="1200" t="s">
        <v>2298</v>
      </c>
      <c r="B60" s="1268"/>
    </row>
    <row r="61" spans="1:2" ht="6" customHeight="1" thickBot="1">
      <c r="B61" s="590"/>
    </row>
    <row r="62" spans="1:2" ht="14.25" thickTop="1" thickBot="1">
      <c r="A62" s="589" t="s">
        <v>1586</v>
      </c>
      <c r="B62" s="595" t="e">
        <f>TRUNC(MIN(B46,B50,B52,B54,B56,B58,B60))</f>
        <v>#DIV/0!</v>
      </c>
    </row>
    <row r="63" spans="1:2" ht="13.5" thickTop="1"/>
    <row r="64" spans="1:2">
      <c r="B64" s="596"/>
    </row>
    <row r="65" spans="4:7">
      <c r="D65" s="583"/>
      <c r="E65" s="585" t="s">
        <v>1561</v>
      </c>
      <c r="F65" s="585" t="s">
        <v>2299</v>
      </c>
      <c r="G65" s="585" t="s">
        <v>1563</v>
      </c>
    </row>
    <row r="66" spans="4:7">
      <c r="D66" s="587" t="s">
        <v>1564</v>
      </c>
      <c r="E66" s="585" t="s">
        <v>1565</v>
      </c>
      <c r="F66" s="585" t="s">
        <v>2300</v>
      </c>
      <c r="G66" s="585" t="s">
        <v>1567</v>
      </c>
    </row>
    <row r="68" spans="4:7">
      <c r="D68" s="583" t="s">
        <v>2269</v>
      </c>
    </row>
    <row r="69" spans="4:7">
      <c r="D69" s="1119" t="s">
        <v>1568</v>
      </c>
      <c r="E69" s="1138">
        <f>+'PROP COST ANALYSIS - FUND USE'!B18</f>
        <v>0</v>
      </c>
      <c r="F69" s="1139">
        <v>9700</v>
      </c>
      <c r="G69" s="1141">
        <f>+E69*F69</f>
        <v>0</v>
      </c>
    </row>
    <row r="70" spans="4:7">
      <c r="D70" s="1119" t="s">
        <v>1569</v>
      </c>
      <c r="E70" s="1138">
        <f>+'PROP COST ANALYSIS - FUND USE'!B19</f>
        <v>0</v>
      </c>
      <c r="F70" s="1139">
        <v>11200</v>
      </c>
      <c r="G70" s="1141">
        <f>+E70*F70</f>
        <v>0</v>
      </c>
    </row>
    <row r="71" spans="4:7">
      <c r="D71" s="1119" t="s">
        <v>1570</v>
      </c>
      <c r="E71" s="1138">
        <f>+'PROP COST ANALYSIS - FUND USE'!B20</f>
        <v>0</v>
      </c>
      <c r="F71" s="1139">
        <v>13700</v>
      </c>
      <c r="G71" s="1141">
        <f>+E71*F71</f>
        <v>0</v>
      </c>
    </row>
    <row r="72" spans="4:7">
      <c r="D72" s="1119" t="s">
        <v>1571</v>
      </c>
      <c r="E72" s="1138">
        <f>+'PROP COST ANALYSIS - FUND USE'!B21</f>
        <v>0</v>
      </c>
      <c r="F72" s="1139">
        <v>17600</v>
      </c>
      <c r="G72" s="1141">
        <f>+E72*F72</f>
        <v>0</v>
      </c>
    </row>
    <row r="73" spans="4:7">
      <c r="D73" s="1119" t="s">
        <v>1572</v>
      </c>
      <c r="E73" s="1138">
        <f>+'PROP COST ANALYSIS - FUND USE'!B22</f>
        <v>0</v>
      </c>
      <c r="F73" s="1139">
        <v>19400</v>
      </c>
      <c r="G73" s="1141">
        <f>+E73*F73</f>
        <v>0</v>
      </c>
    </row>
    <row r="74" spans="4:7">
      <c r="D74" s="583" t="s">
        <v>2270</v>
      </c>
      <c r="E74" s="1138"/>
      <c r="F74" s="1139"/>
      <c r="G74" s="1141"/>
    </row>
    <row r="75" spans="4:7">
      <c r="D75" s="1119" t="s">
        <v>1568</v>
      </c>
      <c r="E75" s="1138">
        <f>+'PROP COST ANALYSIS - FUND USE'!B24</f>
        <v>0</v>
      </c>
      <c r="F75" s="1139">
        <v>15900</v>
      </c>
      <c r="G75" s="1141">
        <f>+E75*F75</f>
        <v>0</v>
      </c>
    </row>
    <row r="76" spans="4:7">
      <c r="D76" s="1119" t="s">
        <v>1569</v>
      </c>
      <c r="E76" s="1138">
        <f>+'PROP COST ANALYSIS - FUND USE'!B25</f>
        <v>0</v>
      </c>
      <c r="F76" s="1139">
        <v>18300</v>
      </c>
      <c r="G76" s="1141">
        <f>+E76*F76</f>
        <v>0</v>
      </c>
    </row>
    <row r="77" spans="4:7">
      <c r="D77" s="1119" t="s">
        <v>1570</v>
      </c>
      <c r="E77" s="1138">
        <f>+'PROP COST ANALYSIS - FUND USE'!B26</f>
        <v>0</v>
      </c>
      <c r="F77" s="1139">
        <v>22300</v>
      </c>
      <c r="G77" s="1141">
        <f>+E77*F77</f>
        <v>0</v>
      </c>
    </row>
    <row r="78" spans="4:7">
      <c r="D78" s="1119" t="s">
        <v>1571</v>
      </c>
      <c r="E78" s="1138">
        <f>+'PROP COST ANALYSIS - FUND USE'!B27</f>
        <v>0</v>
      </c>
      <c r="F78" s="1139">
        <v>28800</v>
      </c>
      <c r="G78" s="1141">
        <f>+E78*F78</f>
        <v>0</v>
      </c>
    </row>
    <row r="79" spans="4:7">
      <c r="D79" s="1119" t="s">
        <v>1572</v>
      </c>
      <c r="E79" s="1138">
        <f>+'PROP COST ANALYSIS - FUND USE'!B28</f>
        <v>0</v>
      </c>
      <c r="F79" s="1139">
        <v>31700</v>
      </c>
      <c r="G79" s="1141">
        <f>+E79*F79</f>
        <v>0</v>
      </c>
    </row>
    <row r="80" spans="4:7">
      <c r="F80" s="1140"/>
      <c r="G80" s="1140"/>
    </row>
    <row r="81" spans="6:7" ht="13.5" thickBot="1">
      <c r="F81" s="1141" t="s">
        <v>2301</v>
      </c>
      <c r="G81" s="1142">
        <f>SUM(G69:G79)</f>
        <v>0</v>
      </c>
    </row>
    <row r="82" spans="6:7" ht="13.5" thickTop="1"/>
    <row r="83" spans="6:7">
      <c r="F83" s="1139" t="s">
        <v>2303</v>
      </c>
      <c r="G83" s="1143"/>
    </row>
  </sheetData>
  <sheetProtection algorithmName="SHA-512" hashValue="IKUM64NNwKgzoMJauyGoMrgIBNR7okBrBmmvJ0J57pN73m/fgmZCvRchTNMWBdlepuBPPWW/AIJxGbYL0kTr3w==" saltValue="YB9U+ry647fK+japGM79oQ==" spinCount="100000" sheet="1" objects="1" scenarios="1"/>
  <mergeCells count="3">
    <mergeCell ref="A1:B1"/>
    <mergeCell ref="A2:B2"/>
    <mergeCell ref="A3:B3"/>
  </mergeCells>
  <printOptions horizontalCentered="1" verticalCentered="1" gridLines="1"/>
  <pageMargins left="0.75" right="0.5" top="0.75" bottom="0.75" header="0" footer="0.5"/>
  <pageSetup scale="88" orientation="portrait" r:id="rId1"/>
  <headerFooter alignWithMargins="0">
    <oddFooter>&amp;C&amp;A&amp;R&amp;D &amp;T</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24">
    <pageSetUpPr fitToPage="1"/>
  </sheetPr>
  <dimension ref="A1:C77"/>
  <sheetViews>
    <sheetView workbookViewId="0"/>
  </sheetViews>
  <sheetFormatPr defaultRowHeight="12.75"/>
  <cols>
    <col min="1" max="1" width="55.5703125" style="1107" customWidth="1"/>
    <col min="2" max="2" width="10.85546875" style="465" customWidth="1"/>
    <col min="3" max="3" width="32.5703125" style="466" customWidth="1"/>
    <col min="4" max="16384" width="9.140625" style="104"/>
  </cols>
  <sheetData>
    <row r="1" spans="1:3" ht="13.5" thickBot="1">
      <c r="A1" s="1292" t="str">
        <f>IF('FORM 1040-1'!D15="","",'FORM 1040-1'!D15)</f>
        <v/>
      </c>
      <c r="B1" s="1293"/>
      <c r="C1" s="1294" t="str">
        <f>IF('FORM 1040-1'!$E$12="","",'FORM 1040-1'!$E$12)</f>
        <v/>
      </c>
    </row>
    <row r="2" spans="1:3" ht="13.5" thickBot="1">
      <c r="C2" s="615" t="s">
        <v>1019</v>
      </c>
    </row>
    <row r="3" spans="1:3">
      <c r="A3" s="1107" t="s">
        <v>665</v>
      </c>
      <c r="C3" s="557">
        <f>+'FORM 1040-27'!L21</f>
        <v>0</v>
      </c>
    </row>
    <row r="4" spans="1:3">
      <c r="A4" s="1107" t="s">
        <v>2171</v>
      </c>
      <c r="C4" s="558">
        <f>+'FORM 1040-27'!P39</f>
        <v>0</v>
      </c>
    </row>
    <row r="5" spans="1:3">
      <c r="A5" s="1107" t="s">
        <v>2152</v>
      </c>
      <c r="C5" s="558">
        <f>+'FORM 1040-27'!P43</f>
        <v>0</v>
      </c>
    </row>
    <row r="7" spans="1:3">
      <c r="A7" s="1107" t="s">
        <v>2153</v>
      </c>
      <c r="C7" s="467">
        <f>+'FORM 1040-3'!D11</f>
        <v>0</v>
      </c>
    </row>
    <row r="8" spans="1:3">
      <c r="A8" s="1107" t="s">
        <v>2154</v>
      </c>
      <c r="B8" s="465" t="s">
        <v>1481</v>
      </c>
      <c r="C8" s="468">
        <f>+'FORM 1040-1'!Y18/43560</f>
        <v>0</v>
      </c>
    </row>
    <row r="9" spans="1:3">
      <c r="A9" s="1107" t="s">
        <v>1482</v>
      </c>
      <c r="C9" s="469" t="e">
        <f>+C7/C8</f>
        <v>#DIV/0!</v>
      </c>
    </row>
    <row r="11" spans="1:3">
      <c r="A11" s="1107" t="s">
        <v>2153</v>
      </c>
      <c r="C11" s="467">
        <f>+C7</f>
        <v>0</v>
      </c>
    </row>
    <row r="12" spans="1:3">
      <c r="A12" s="1107" t="s">
        <v>1635</v>
      </c>
      <c r="B12" s="470" t="s">
        <v>357</v>
      </c>
      <c r="C12" s="471">
        <f>+'FORM 1040-3'!D12</f>
        <v>0</v>
      </c>
    </row>
    <row r="13" spans="1:3">
      <c r="A13" s="1107" t="s">
        <v>2162</v>
      </c>
      <c r="C13" s="467">
        <f>+C11+C12</f>
        <v>0</v>
      </c>
    </row>
    <row r="14" spans="1:3">
      <c r="A14" s="1117" t="s">
        <v>1511</v>
      </c>
      <c r="C14" s="469" t="e">
        <f>+C13/C3</f>
        <v>#DIV/0!</v>
      </c>
    </row>
    <row r="15" spans="1:3">
      <c r="A15" s="1117" t="s">
        <v>2172</v>
      </c>
      <c r="C15" s="469" t="e">
        <f>+C13/C4</f>
        <v>#DIV/0!</v>
      </c>
    </row>
    <row r="16" spans="1:3">
      <c r="A16" s="1117" t="s">
        <v>1512</v>
      </c>
      <c r="C16" s="469" t="e">
        <f>+C13/C5</f>
        <v>#DIV/0!</v>
      </c>
    </row>
    <row r="18" spans="1:3">
      <c r="A18" s="1107" t="s">
        <v>1483</v>
      </c>
      <c r="C18" s="467">
        <f>+'FORM 1040-3'!D14</f>
        <v>0</v>
      </c>
    </row>
    <row r="19" spans="1:3">
      <c r="A19" s="1107" t="s">
        <v>2164</v>
      </c>
      <c r="B19" s="465" t="s">
        <v>1481</v>
      </c>
      <c r="C19" s="471">
        <f>+'FORM 1040-3'!Q53</f>
        <v>0</v>
      </c>
    </row>
    <row r="20" spans="1:3">
      <c r="A20" s="1107" t="s">
        <v>1484</v>
      </c>
      <c r="C20" s="472" t="e">
        <f>+C18/C19</f>
        <v>#DIV/0!</v>
      </c>
    </row>
    <row r="22" spans="1:3">
      <c r="A22" s="1107" t="s">
        <v>364</v>
      </c>
      <c r="C22" s="467">
        <f>+'FORM 1040-3'!D17</f>
        <v>0</v>
      </c>
    </row>
    <row r="23" spans="1:3">
      <c r="A23" s="1117" t="s">
        <v>1511</v>
      </c>
      <c r="C23" s="559" t="e">
        <f>+C22/C3</f>
        <v>#DIV/0!</v>
      </c>
    </row>
    <row r="24" spans="1:3">
      <c r="A24" s="1117" t="s">
        <v>2172</v>
      </c>
      <c r="C24" s="469" t="e">
        <f>+C22/C4</f>
        <v>#DIV/0!</v>
      </c>
    </row>
    <row r="25" spans="1:3">
      <c r="A25" s="1117" t="s">
        <v>1512</v>
      </c>
      <c r="C25" s="559" t="e">
        <f>+C22/C5</f>
        <v>#DIV/0!</v>
      </c>
    </row>
    <row r="27" spans="1:3">
      <c r="A27" s="1107" t="s">
        <v>2169</v>
      </c>
      <c r="C27" s="467">
        <f>+'FORM 1040-3'!D18</f>
        <v>0</v>
      </c>
    </row>
    <row r="28" spans="1:3">
      <c r="A28" s="1117" t="s">
        <v>1511</v>
      </c>
      <c r="C28" s="469" t="e">
        <f>+C27/C3</f>
        <v>#DIV/0!</v>
      </c>
    </row>
    <row r="29" spans="1:3">
      <c r="A29" s="1117" t="s">
        <v>2172</v>
      </c>
      <c r="C29" s="469" t="e">
        <f>+C27/C4</f>
        <v>#DIV/0!</v>
      </c>
    </row>
    <row r="30" spans="1:3">
      <c r="A30" s="1117" t="s">
        <v>1512</v>
      </c>
      <c r="C30" s="469" t="e">
        <f>+C27/C5</f>
        <v>#DIV/0!</v>
      </c>
    </row>
    <row r="32" spans="1:3">
      <c r="A32" s="1107" t="s">
        <v>2163</v>
      </c>
      <c r="C32" s="467">
        <f>+'FORM 1040-3'!D23</f>
        <v>0</v>
      </c>
    </row>
    <row r="33" spans="1:3">
      <c r="A33" s="1107" t="s">
        <v>2165</v>
      </c>
      <c r="B33" s="465" t="s">
        <v>1481</v>
      </c>
      <c r="C33" s="467">
        <f>+'FORM 1040-3'!D13+'FORM 1040-3'!D15+'FORM 1040-3'!D16+'FORM 1040-3'!D17+'FORM 1040-3'!D18+'FORM 1040-3'!D19+'FORM 1040-3'!D20+'FORM 1040-3'!D21+'FORM 1040-3'!D22</f>
        <v>0</v>
      </c>
    </row>
    <row r="34" spans="1:3">
      <c r="A34" s="1107" t="s">
        <v>1486</v>
      </c>
      <c r="C34" s="472" t="e">
        <f>+C32/C33</f>
        <v>#DIV/0!</v>
      </c>
    </row>
    <row r="36" spans="1:3">
      <c r="A36" s="1107" t="s">
        <v>2164</v>
      </c>
      <c r="C36" s="467">
        <f>+C19</f>
        <v>0</v>
      </c>
    </row>
    <row r="37" spans="1:3">
      <c r="A37" s="1117" t="s">
        <v>1511</v>
      </c>
      <c r="C37" s="469" t="e">
        <f>+C36/C3</f>
        <v>#DIV/0!</v>
      </c>
    </row>
    <row r="38" spans="1:3">
      <c r="A38" s="1117" t="s">
        <v>2172</v>
      </c>
      <c r="C38" s="469" t="e">
        <f>+C36/C4</f>
        <v>#DIV/0!</v>
      </c>
    </row>
    <row r="39" spans="1:3">
      <c r="A39" s="1117" t="s">
        <v>1512</v>
      </c>
      <c r="C39" s="469" t="e">
        <f>+C36/C5</f>
        <v>#DIV/0!</v>
      </c>
    </row>
    <row r="41" spans="1:3">
      <c r="A41" s="1107" t="s">
        <v>371</v>
      </c>
      <c r="C41" s="467">
        <f>+'FORM 1040-3'!D25</f>
        <v>0</v>
      </c>
    </row>
    <row r="42" spans="1:3">
      <c r="A42" s="1107" t="s">
        <v>372</v>
      </c>
      <c r="C42" s="467">
        <f>+'FORM 1040-3'!D26</f>
        <v>0</v>
      </c>
    </row>
    <row r="43" spans="1:3">
      <c r="A43" s="1107" t="s">
        <v>373</v>
      </c>
      <c r="B43" s="465" t="s">
        <v>357</v>
      </c>
      <c r="C43" s="471">
        <f>+'FORM 1040-4'!D12</f>
        <v>0</v>
      </c>
    </row>
    <row r="44" spans="1:3">
      <c r="A44" s="1107" t="s">
        <v>1513</v>
      </c>
      <c r="C44" s="467">
        <f>SUM(C41:C43)</f>
        <v>0</v>
      </c>
    </row>
    <row r="45" spans="1:3">
      <c r="A45" s="1107" t="s">
        <v>2166</v>
      </c>
      <c r="B45" s="465" t="s">
        <v>1481</v>
      </c>
      <c r="C45" s="467">
        <f>+'FORM 1040-3'!D13+'FORM 1040-3'!D15+'FORM 1040-3'!D16+'FORM 1040-3'!D17+'FORM 1040-3'!D18+'FORM 1040-3'!D19+'FORM 1040-3'!D20+'FORM 1040-3'!D21+'FORM 1040-3'!D22+'FORM 1040-3'!D23+'FORM 1040-3'!D24</f>
        <v>0</v>
      </c>
    </row>
    <row r="46" spans="1:3">
      <c r="A46" s="1107" t="s">
        <v>2167</v>
      </c>
      <c r="C46" s="472" t="e">
        <f>+C44/C45</f>
        <v>#DIV/0!</v>
      </c>
    </row>
    <row r="48" spans="1:3">
      <c r="A48" s="1107" t="s">
        <v>381</v>
      </c>
      <c r="C48" s="467">
        <f>+'FORM 1040-3'!D31</f>
        <v>0</v>
      </c>
    </row>
    <row r="49" spans="1:3">
      <c r="A49" s="1107" t="s">
        <v>382</v>
      </c>
      <c r="B49" s="465" t="s">
        <v>357</v>
      </c>
      <c r="C49" s="471">
        <f>+'FORM 1040-4'!D17</f>
        <v>0</v>
      </c>
    </row>
    <row r="50" spans="1:3">
      <c r="A50" s="1107" t="s">
        <v>1487</v>
      </c>
      <c r="C50" s="467">
        <f>+C48+C49</f>
        <v>0</v>
      </c>
    </row>
    <row r="51" spans="1:3">
      <c r="A51" s="1107" t="s">
        <v>2166</v>
      </c>
      <c r="B51" s="465" t="s">
        <v>1481</v>
      </c>
      <c r="C51" s="467">
        <f>+C45</f>
        <v>0</v>
      </c>
    </row>
    <row r="52" spans="1:3">
      <c r="A52" s="1107" t="s">
        <v>2168</v>
      </c>
      <c r="C52" s="472" t="e">
        <f>+C50/C51</f>
        <v>#DIV/0!</v>
      </c>
    </row>
    <row r="54" spans="1:3">
      <c r="A54" s="1107" t="s">
        <v>1514</v>
      </c>
      <c r="C54" s="467">
        <f>+'FORM 1040-4'!D22</f>
        <v>0</v>
      </c>
    </row>
    <row r="55" spans="1:3">
      <c r="A55" s="1107" t="s">
        <v>2170</v>
      </c>
      <c r="B55" s="465" t="s">
        <v>1481</v>
      </c>
      <c r="C55" s="467">
        <f>+'FORM 1040-3'!Q49</f>
        <v>0</v>
      </c>
    </row>
    <row r="56" spans="1:3">
      <c r="A56" s="1107" t="s">
        <v>1515</v>
      </c>
      <c r="C56" s="472" t="e">
        <f>+C54/C55</f>
        <v>#DIV/0!</v>
      </c>
    </row>
    <row r="58" spans="1:3">
      <c r="A58" s="1107" t="s">
        <v>2175</v>
      </c>
      <c r="C58" s="467">
        <f>+'FORM 1040-3'!D42</f>
        <v>0</v>
      </c>
    </row>
    <row r="59" spans="1:3">
      <c r="A59" s="1117" t="s">
        <v>1511</v>
      </c>
      <c r="C59" s="469" t="e">
        <f>+C58/C3</f>
        <v>#DIV/0!</v>
      </c>
    </row>
    <row r="60" spans="1:3">
      <c r="A60" s="1117" t="s">
        <v>2172</v>
      </c>
      <c r="C60" s="469" t="e">
        <f>+C58/C4</f>
        <v>#DIV/0!</v>
      </c>
    </row>
    <row r="61" spans="1:3">
      <c r="A61" s="1117" t="s">
        <v>1512</v>
      </c>
      <c r="C61" s="469" t="e">
        <f>+C58/C5</f>
        <v>#DIV/0!</v>
      </c>
    </row>
    <row r="62" spans="1:3">
      <c r="A62" s="1117"/>
      <c r="C62" s="1108"/>
    </row>
    <row r="63" spans="1:3">
      <c r="A63" s="1107" t="s">
        <v>2178</v>
      </c>
      <c r="C63" s="1110" t="e">
        <f>+'FORM 1040-8'!R28/'FORM 1040-8'!R29</f>
        <v>#DIV/0!</v>
      </c>
    </row>
    <row r="64" spans="1:3">
      <c r="A64" s="1107" t="s">
        <v>2179</v>
      </c>
      <c r="C64" s="1110" t="e">
        <f>+('FORM 1040-8'!R24+'FORM 1040-8'!R25+'FORM 1040-8'!R26+'FORM 1040-8'!R27+'FORM 1040-8'!R28)/'FORM 1040-8'!R29</f>
        <v>#DIV/0!</v>
      </c>
    </row>
    <row r="65" spans="1:3">
      <c r="C65" s="1111"/>
    </row>
    <row r="66" spans="1:3">
      <c r="A66" s="1107" t="s">
        <v>2183</v>
      </c>
      <c r="C66" s="559" t="e">
        <f>+'FORM 1040-12'!H10/'MISC ANALYSIS - FUND USE'!C3</f>
        <v>#DIV/0!</v>
      </c>
    </row>
    <row r="67" spans="1:3">
      <c r="A67" s="1107" t="s">
        <v>2181</v>
      </c>
      <c r="C67" s="559" t="e">
        <f>+'FORM 1040-12'!H23/'MISC ANALYSIS - FUND USE'!C3</f>
        <v>#DIV/0!</v>
      </c>
    </row>
    <row r="68" spans="1:3">
      <c r="A68" s="1107" t="s">
        <v>2182</v>
      </c>
      <c r="C68" s="1112" t="e">
        <f>+'FORM 1040-12'!H24/'MISC ANALYSIS - FUND USE'!C3</f>
        <v>#DIV/0!</v>
      </c>
    </row>
    <row r="69" spans="1:3">
      <c r="C69" s="1111"/>
    </row>
    <row r="70" spans="1:3">
      <c r="A70" s="1107" t="s">
        <v>2173</v>
      </c>
      <c r="C70" s="1109">
        <f>+'FORM 1040-14'!D17+'FORM 1040-14'!E17+'FORM 1040-14'!F17+'FORM 1040-14'!G17+'FORM 1040-14'!H17+'FORM 1040-14'!I17+'FORM 1040-14'!J17+'FORM 1040-14'!K17+'FORM 1040-14'!D50+'FORM 1040-14'!E50+'FORM 1040-14'!F50+'FORM 1040-14'!G50+'FORM 1040-14'!H50+'FORM 1040-14'!I50+'FORM 1040-14'!J50</f>
        <v>0</v>
      </c>
    </row>
    <row r="71" spans="1:3">
      <c r="A71" s="1107" t="s">
        <v>2180</v>
      </c>
      <c r="C71" s="1109">
        <f>+'FORM 1040-14'!D18+'FORM 1040-14'!E18+'FORM 1040-14'!F18+'FORM 1040-14'!G18+'FORM 1040-14'!H18+'FORM 1040-14'!I18+'FORM 1040-14'!J18+'FORM 1040-14'!K18+'FORM 1040-14'!D51+'FORM 1040-14'!E51+'FORM 1040-14'!F51+'FORM 1040-14'!G51+'FORM 1040-14'!H51+'FORM 1040-14'!I51+'FORM 1040-14'!J51</f>
        <v>0</v>
      </c>
    </row>
    <row r="73" spans="1:3">
      <c r="A73" s="1107" t="s">
        <v>2736</v>
      </c>
      <c r="C73" s="1539">
        <f>+'FORM 1040-3'!D36+'FORM 1040-4'!D14+(0.5*('FORM 1040-3'!D38))</f>
        <v>0</v>
      </c>
    </row>
    <row r="74" spans="1:3">
      <c r="A74" s="1107" t="s">
        <v>2737</v>
      </c>
      <c r="C74" s="1539">
        <f>+'FORM 1040-3'!D11+'FORM 1040-3'!D12</f>
        <v>0</v>
      </c>
    </row>
    <row r="75" spans="1:3">
      <c r="A75" s="1107" t="s">
        <v>2738</v>
      </c>
      <c r="C75" s="1539">
        <f>+'FORM 1040-3'!D13+'FORM 1040-3'!D15+'FORM 1040-3'!D16+'FORM 1040-3'!D17+'FORM 1040-3'!D18+'FORM 1040-3'!D19+'FORM 1040-3'!D20+'FORM 1040-3'!D21+'FORM 1040-3'!D22+'FORM 1040-3'!D23+'FORM 1040-3'!D24</f>
        <v>0</v>
      </c>
    </row>
    <row r="76" spans="1:3">
      <c r="A76" s="1107" t="s">
        <v>2739</v>
      </c>
      <c r="C76" s="471">
        <f>+'FORM 1040-3'!D14+'FORM 1040-3'!D25+'FORM 1040-3'!D26+'FORM 1040-3'!D27+'FORM 1040-3'!D28+'FORM 1040-3'!D29+'FORM 1040-3'!D30+'FORM 1040-3'!D31+'FORM 1040-3'!D32+'FORM 1040-3'!D33+'FORM 1040-3'!D34+'FORM 1040-3'!D35+'FORM 1040-3'!D37+'FORM 1040-3'!D39+'FORM 1040-3'!D40+'FORM 1040-4'!D12+'FORM 1040-4'!D13+'FORM 1040-4'!D15+'FORM 1040-4'!D16+'FORM 1040-4'!D17+'FORM 1040-4'!D18+'FORM 1040-4'!D19+'FORM 1040-4'!D20+'FORM 1040-4'!D21+'FORM 1040-4'!D22+'FORM 1040-4'!D23+'FORM 1040-4'!D24+'FORM 1040-4'!D25+'FORM 1040-4'!D26+'FORM 1040-4'!D27+'FORM 1040-4'!D28+'FORM 1040-4'!D29+'FORM 1040-4'!D30+'FORM 1040-4'!D31+(0.5*('FORM 1040-3'!D38))</f>
        <v>0</v>
      </c>
    </row>
    <row r="77" spans="1:3">
      <c r="A77" s="1107" t="s">
        <v>100</v>
      </c>
      <c r="C77" s="1109">
        <f>SUM(C73:C76)</f>
        <v>0</v>
      </c>
    </row>
  </sheetData>
  <sheetProtection algorithmName="SHA-512" hashValue="JE5KStCso7QZBQJcJunR94W56FZ9hmWwDy1yspQKnk94HA1Vj8yhXC11+HQedoNbdIoa4zuHFxy024qSkDHnpg==" saltValue="gYOESupfF31V5qI3U8wXvA==" spinCount="100000" sheet="1" objects="1" scenarios="1"/>
  <pageMargins left="0.75" right="0.5" top="1" bottom="0.75" header="0" footer="0.5"/>
  <pageSetup scale="95" fitToHeight="2" orientation="portrait" r:id="rId1"/>
  <headerFooter alignWithMargins="0">
    <oddFooter>&amp;C&amp;A&amp;R&amp;D &amp;T</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BW296"/>
  <sheetViews>
    <sheetView zoomScaleNormal="100" workbookViewId="0"/>
  </sheetViews>
  <sheetFormatPr defaultColWidth="11.42578125" defaultRowHeight="12.75"/>
  <cols>
    <col min="1" max="1" width="4.7109375" style="4" customWidth="1"/>
    <col min="2" max="2" width="12.7109375" style="4" customWidth="1"/>
    <col min="3" max="3" width="7.7109375" style="4" customWidth="1"/>
    <col min="4" max="4" width="13.7109375" style="835" customWidth="1"/>
    <col min="5" max="5" width="14.7109375" style="835" customWidth="1"/>
    <col min="6" max="6" width="8.7109375" style="1482" customWidth="1"/>
    <col min="7" max="7" width="14.7109375" style="4" customWidth="1"/>
    <col min="8" max="8" width="13.7109375" style="4" customWidth="1"/>
    <col min="9" max="9" width="12.7109375" style="4" customWidth="1"/>
    <col min="10" max="10" width="14.7109375" style="4" customWidth="1"/>
    <col min="11" max="11" width="11.42578125" style="40"/>
    <col min="12" max="12" width="5.7109375" style="41" customWidth="1"/>
    <col min="13" max="13" width="4.7109375" style="4" hidden="1" customWidth="1"/>
    <col min="14" max="14" width="18.7109375" style="4" hidden="1" customWidth="1"/>
    <col min="15" max="15" width="15.7109375" style="4" hidden="1" customWidth="1"/>
    <col min="16" max="17" width="15.7109375" style="835" hidden="1" customWidth="1"/>
    <col min="18" max="18" width="15.7109375" style="4" hidden="1" customWidth="1"/>
    <col min="19" max="20" width="18.7109375" style="4" hidden="1" customWidth="1"/>
    <col min="21" max="21" width="15.7109375" style="4" hidden="1" customWidth="1"/>
    <col min="22" max="22" width="31.42578125" style="4" hidden="1" customWidth="1"/>
    <col min="23" max="25" width="10.7109375" style="4" hidden="1" customWidth="1"/>
    <col min="26" max="26" width="3.7109375" style="4" hidden="1" customWidth="1"/>
    <col min="27" max="28" width="10.7109375" style="4" hidden="1" customWidth="1"/>
    <col min="29" max="29" width="3.7109375" style="4" hidden="1" customWidth="1"/>
    <col min="30" max="31" width="13.7109375" style="4" hidden="1" customWidth="1"/>
    <col min="32" max="32" width="13.7109375" style="40" hidden="1" customWidth="1"/>
    <col min="33" max="33" width="3.7109375" style="40" hidden="1" customWidth="1"/>
    <col min="34" max="38" width="11.42578125" style="40" hidden="1" customWidth="1"/>
    <col min="39" max="39" width="8.28515625" style="40" hidden="1" customWidth="1"/>
    <col min="40" max="44" width="11.42578125" style="40" hidden="1" customWidth="1"/>
    <col min="45" max="45" width="8.28515625" style="40" hidden="1" customWidth="1"/>
    <col min="46" max="51" width="11.42578125" style="40" hidden="1" customWidth="1"/>
    <col min="52" max="52" width="43.28515625" style="40" hidden="1" customWidth="1"/>
    <col min="53" max="53" width="15.28515625" style="40" hidden="1" customWidth="1"/>
    <col min="54" max="54" width="14" style="40" hidden="1" customWidth="1"/>
    <col min="55" max="55" width="14.28515625" style="40" hidden="1" customWidth="1"/>
    <col min="56" max="74" width="14.28515625" style="975" hidden="1" customWidth="1"/>
    <col min="75" max="75" width="5.7109375" style="41" customWidth="1"/>
    <col min="76" max="16384" width="11.42578125" style="40"/>
  </cols>
  <sheetData>
    <row r="1" spans="1:75">
      <c r="A1" s="1302" t="str">
        <f>IF('FORM 1040-1'!D15="","",'FORM 1040-1'!D15)</f>
        <v/>
      </c>
      <c r="B1" s="1303"/>
      <c r="C1" s="1303"/>
      <c r="D1" s="1303"/>
      <c r="E1" s="1303"/>
      <c r="F1" s="1303"/>
      <c r="G1" s="1303"/>
      <c r="H1" s="1303"/>
      <c r="I1" s="1303"/>
      <c r="J1" s="1294" t="str">
        <f>IF('FORM 1040-1'!$E$12="","",'FORM 1040-1'!$E$12)</f>
        <v/>
      </c>
      <c r="M1" s="814"/>
      <c r="N1" s="814"/>
      <c r="O1" s="814"/>
      <c r="R1" s="814"/>
      <c r="S1" s="814"/>
      <c r="T1" s="814"/>
      <c r="U1" s="814"/>
      <c r="V1" s="293" t="s">
        <v>1919</v>
      </c>
      <c r="W1" s="814"/>
      <c r="X1" s="814"/>
      <c r="Y1" s="814"/>
      <c r="Z1" s="814"/>
      <c r="AA1" s="814"/>
      <c r="AB1" s="814"/>
      <c r="AC1" s="814"/>
      <c r="AD1" s="814"/>
      <c r="AE1" s="814"/>
    </row>
    <row r="2" spans="1:75">
      <c r="A2" s="814"/>
      <c r="B2" s="814"/>
      <c r="C2" s="814"/>
      <c r="G2" s="814"/>
      <c r="H2" s="814"/>
      <c r="I2" s="814"/>
      <c r="J2" s="814"/>
      <c r="M2" s="814"/>
      <c r="N2" s="814"/>
      <c r="O2" s="814"/>
      <c r="R2" s="814"/>
      <c r="S2" s="814"/>
      <c r="T2" s="814"/>
      <c r="U2" s="814"/>
      <c r="V2" s="293" t="s">
        <v>354</v>
      </c>
      <c r="W2" s="814"/>
      <c r="X2" s="814"/>
      <c r="Y2" s="814"/>
      <c r="Z2" s="814"/>
      <c r="AA2" s="814"/>
      <c r="AB2" s="814"/>
      <c r="AC2" s="814"/>
      <c r="AD2" s="814"/>
      <c r="AE2" s="814"/>
    </row>
    <row r="3" spans="1:75" ht="14.1" customHeight="1">
      <c r="A3" s="12" t="s">
        <v>52</v>
      </c>
      <c r="B3" s="4" t="s">
        <v>558</v>
      </c>
      <c r="M3" s="12" t="s">
        <v>52</v>
      </c>
      <c r="N3" s="4" t="s">
        <v>558</v>
      </c>
      <c r="V3" s="293" t="s">
        <v>1810</v>
      </c>
    </row>
    <row r="4" spans="1:75" s="4" customFormat="1" ht="12" customHeight="1" thickBot="1">
      <c r="D4" s="835"/>
      <c r="E4" s="835"/>
      <c r="F4" s="1482"/>
      <c r="L4" s="6"/>
      <c r="P4" s="835"/>
      <c r="Q4" s="835"/>
      <c r="V4" s="293" t="s">
        <v>1920</v>
      </c>
      <c r="AY4" s="835"/>
      <c r="AZ4" s="835"/>
      <c r="BA4" s="835"/>
      <c r="BB4" s="835"/>
      <c r="BC4" s="835"/>
      <c r="BD4" s="39"/>
      <c r="BE4" s="1057"/>
      <c r="BF4" s="1057"/>
      <c r="BG4" s="1057"/>
      <c r="BH4" s="1057"/>
      <c r="BI4" s="1057"/>
      <c r="BJ4" s="1057"/>
      <c r="BK4" s="1057"/>
      <c r="BL4" s="1057"/>
      <c r="BM4" s="1057"/>
      <c r="BN4" s="1057"/>
      <c r="BO4" s="1057"/>
      <c r="BP4" s="1057"/>
      <c r="BQ4" s="1057"/>
      <c r="BR4" s="1057"/>
      <c r="BS4" s="1057"/>
      <c r="BT4" s="1057"/>
      <c r="BU4" s="1057"/>
      <c r="BV4" s="1057"/>
      <c r="BW4" s="6"/>
    </row>
    <row r="5" spans="1:75" s="4" customFormat="1" ht="15.95" customHeight="1" thickTop="1">
      <c r="B5" s="42" t="s">
        <v>114</v>
      </c>
      <c r="C5" s="43" t="s">
        <v>162</v>
      </c>
      <c r="D5" s="1613" t="s">
        <v>114</v>
      </c>
      <c r="E5" s="1615"/>
      <c r="F5" s="1483" t="s">
        <v>162</v>
      </c>
      <c r="G5" s="1687" t="s">
        <v>1805</v>
      </c>
      <c r="H5" s="45" t="s">
        <v>100</v>
      </c>
      <c r="I5" s="42" t="s">
        <v>1843</v>
      </c>
      <c r="J5" s="46" t="s">
        <v>209</v>
      </c>
      <c r="L5" s="6"/>
      <c r="N5" s="42" t="s">
        <v>114</v>
      </c>
      <c r="O5" s="43" t="s">
        <v>162</v>
      </c>
      <c r="P5" s="1613"/>
      <c r="Q5" s="1615"/>
      <c r="R5" s="44" t="s">
        <v>660</v>
      </c>
      <c r="S5" s="45" t="s">
        <v>100</v>
      </c>
      <c r="T5" s="42" t="s">
        <v>219</v>
      </c>
      <c r="U5" s="46" t="s">
        <v>209</v>
      </c>
      <c r="X5" s="1597" t="s">
        <v>115</v>
      </c>
      <c r="Y5" s="1597"/>
      <c r="Z5" s="12"/>
      <c r="AA5" s="1597" t="s">
        <v>174</v>
      </c>
      <c r="AB5" s="1597"/>
      <c r="AD5" s="1597" t="s">
        <v>115</v>
      </c>
      <c r="AE5" s="1597"/>
      <c r="AF5" s="1597"/>
      <c r="AH5" s="1597" t="s">
        <v>1000</v>
      </c>
      <c r="AI5" s="1597"/>
      <c r="AJ5" s="1597"/>
      <c r="AK5" s="1597"/>
      <c r="AL5" s="1597"/>
      <c r="AN5" s="1597" t="s">
        <v>1003</v>
      </c>
      <c r="AO5" s="1597"/>
      <c r="AP5" s="1597"/>
      <c r="AQ5" s="1597"/>
      <c r="AR5" s="1597"/>
      <c r="AT5" s="1597" t="s">
        <v>1001</v>
      </c>
      <c r="AU5" s="1597"/>
      <c r="AV5" s="1597"/>
      <c r="AW5" s="1597"/>
      <c r="AX5" s="1597"/>
      <c r="AY5" s="831"/>
      <c r="AZ5" s="831"/>
      <c r="BA5" s="1597" t="s">
        <v>1918</v>
      </c>
      <c r="BB5" s="1597"/>
      <c r="BC5" s="1597"/>
      <c r="BD5" s="87"/>
      <c r="BE5" s="1685" t="s">
        <v>1837</v>
      </c>
      <c r="BF5" s="1685"/>
      <c r="BG5" s="1685"/>
      <c r="BH5" s="1685"/>
      <c r="BI5" s="1685"/>
      <c r="BJ5" s="1685" t="s">
        <v>1453</v>
      </c>
      <c r="BK5" s="1685"/>
      <c r="BL5" s="1685"/>
      <c r="BM5" s="1685"/>
      <c r="BN5" s="1685"/>
      <c r="BO5" s="1685" t="s">
        <v>742</v>
      </c>
      <c r="BP5" s="1685"/>
      <c r="BQ5" s="1685"/>
      <c r="BR5" s="1685"/>
      <c r="BS5" s="1685"/>
      <c r="BT5" s="87"/>
      <c r="BU5" s="87"/>
      <c r="BV5" s="87"/>
      <c r="BW5" s="6"/>
    </row>
    <row r="6" spans="1:75" s="4" customFormat="1" ht="15.95" customHeight="1" thickBot="1">
      <c r="B6" s="47" t="s">
        <v>218</v>
      </c>
      <c r="C6" s="48" t="s">
        <v>231</v>
      </c>
      <c r="D6" s="1629" t="s">
        <v>1917</v>
      </c>
      <c r="E6" s="1630"/>
      <c r="F6" s="1484" t="s">
        <v>2722</v>
      </c>
      <c r="G6" s="1688"/>
      <c r="H6" s="50" t="s">
        <v>174</v>
      </c>
      <c r="I6" s="47" t="s">
        <v>664</v>
      </c>
      <c r="J6" s="51" t="s">
        <v>1806</v>
      </c>
      <c r="L6" s="6"/>
      <c r="N6" s="47" t="s">
        <v>218</v>
      </c>
      <c r="O6" s="48" t="s">
        <v>231</v>
      </c>
      <c r="P6" s="1629"/>
      <c r="Q6" s="1630"/>
      <c r="R6" s="49" t="s">
        <v>661</v>
      </c>
      <c r="S6" s="50" t="s">
        <v>174</v>
      </c>
      <c r="T6" s="47" t="s">
        <v>662</v>
      </c>
      <c r="U6" s="51" t="s">
        <v>221</v>
      </c>
      <c r="V6" s="293">
        <v>1</v>
      </c>
      <c r="X6" s="12" t="s">
        <v>215</v>
      </c>
      <c r="Y6" s="12" t="s">
        <v>561</v>
      </c>
      <c r="Z6" s="12"/>
      <c r="AA6" s="12" t="s">
        <v>215</v>
      </c>
      <c r="AB6" s="12" t="s">
        <v>561</v>
      </c>
      <c r="AD6" s="12" t="s">
        <v>555</v>
      </c>
      <c r="AE6" s="12" t="s">
        <v>556</v>
      </c>
      <c r="AF6" s="12" t="s">
        <v>557</v>
      </c>
      <c r="AH6" s="852" t="s">
        <v>550</v>
      </c>
      <c r="AI6" s="852" t="s">
        <v>551</v>
      </c>
      <c r="AJ6" s="852" t="s">
        <v>552</v>
      </c>
      <c r="AK6" s="852" t="s">
        <v>553</v>
      </c>
      <c r="AL6" s="852" t="s">
        <v>554</v>
      </c>
      <c r="AM6" s="12"/>
      <c r="AN6" s="12" t="s">
        <v>550</v>
      </c>
      <c r="AO6" s="12" t="s">
        <v>551</v>
      </c>
      <c r="AP6" s="12" t="s">
        <v>552</v>
      </c>
      <c r="AQ6" s="12" t="s">
        <v>553</v>
      </c>
      <c r="AR6" s="12" t="s">
        <v>554</v>
      </c>
      <c r="AS6" s="12"/>
      <c r="AT6" s="12" t="s">
        <v>550</v>
      </c>
      <c r="AU6" s="12" t="s">
        <v>551</v>
      </c>
      <c r="AV6" s="12" t="s">
        <v>552</v>
      </c>
      <c r="AW6" s="12" t="s">
        <v>553</v>
      </c>
      <c r="AX6" s="12" t="s">
        <v>554</v>
      </c>
      <c r="AY6" s="831"/>
      <c r="AZ6" s="831" t="s">
        <v>1919</v>
      </c>
      <c r="BA6" s="831" t="s">
        <v>354</v>
      </c>
      <c r="BB6" s="831" t="s">
        <v>1810</v>
      </c>
      <c r="BC6" s="831" t="s">
        <v>1811</v>
      </c>
      <c r="BD6" s="87"/>
      <c r="BE6" s="87" t="s">
        <v>2271</v>
      </c>
      <c r="BF6" s="87" t="s">
        <v>2272</v>
      </c>
      <c r="BG6" s="87" t="s">
        <v>2273</v>
      </c>
      <c r="BH6" s="87" t="s">
        <v>2274</v>
      </c>
      <c r="BI6" s="87" t="s">
        <v>2275</v>
      </c>
      <c r="BJ6" s="87" t="s">
        <v>2271</v>
      </c>
      <c r="BK6" s="87" t="s">
        <v>2272</v>
      </c>
      <c r="BL6" s="87" t="s">
        <v>2273</v>
      </c>
      <c r="BM6" s="87" t="s">
        <v>2274</v>
      </c>
      <c r="BN6" s="87" t="s">
        <v>2275</v>
      </c>
      <c r="BO6" s="87" t="s">
        <v>2276</v>
      </c>
      <c r="BP6" s="87" t="s">
        <v>2277</v>
      </c>
      <c r="BQ6" s="87" t="s">
        <v>2278</v>
      </c>
      <c r="BR6" s="87" t="s">
        <v>2279</v>
      </c>
      <c r="BS6" s="87" t="s">
        <v>2280</v>
      </c>
      <c r="BT6" s="87"/>
      <c r="BU6" s="87"/>
      <c r="BV6" s="87"/>
      <c r="BW6" s="6"/>
    </row>
    <row r="7" spans="1:75" s="4" customFormat="1" ht="15.95" customHeight="1" thickTop="1" thickBot="1">
      <c r="A7" s="52">
        <v>1</v>
      </c>
      <c r="B7" s="53"/>
      <c r="C7" s="54"/>
      <c r="D7" s="1691"/>
      <c r="E7" s="1692"/>
      <c r="F7" s="1487"/>
      <c r="G7" s="55"/>
      <c r="H7" s="56">
        <f>C7*G7</f>
        <v>0</v>
      </c>
      <c r="I7" s="57"/>
      <c r="J7" s="58"/>
      <c r="L7" s="6"/>
      <c r="M7" s="52">
        <v>1</v>
      </c>
      <c r="N7" s="1393" t="str">
        <f>IF(B7="","",(B7))</f>
        <v/>
      </c>
      <c r="O7" s="60" t="str">
        <f>IF(C7="","",(C7))</f>
        <v/>
      </c>
      <c r="P7" s="1689"/>
      <c r="Q7" s="1690"/>
      <c r="R7" s="61" t="str">
        <f>IF(G7="","",(G7))</f>
        <v/>
      </c>
      <c r="S7" s="62"/>
      <c r="T7" s="1393" t="str">
        <f>IF(I7="","",(I7))</f>
        <v/>
      </c>
      <c r="U7" s="63" t="str">
        <f>IF(J7="","",(J7))</f>
        <v/>
      </c>
      <c r="V7" s="293">
        <v>1.5</v>
      </c>
      <c r="X7" s="4">
        <f>IF(I7="market",C7,0)</f>
        <v>0</v>
      </c>
      <c r="Y7" s="4">
        <f>IF(I7&lt;&gt;"market",C7,0)</f>
        <v>0</v>
      </c>
      <c r="AA7" s="4">
        <f>IF(I7="market",H7,0)</f>
        <v>0</v>
      </c>
      <c r="AB7" s="4">
        <f>IF(I7&lt;&gt;"market",H7,0)</f>
        <v>0</v>
      </c>
      <c r="AD7" s="4">
        <f>IF(I7="40% AMI",C7,0)</f>
        <v>0</v>
      </c>
      <c r="AE7" s="4">
        <f>IF(I7="50% AMI",C7,0)</f>
        <v>0</v>
      </c>
      <c r="AF7" s="4">
        <f>IF(I7="60% AMI",C7,0)</f>
        <v>0</v>
      </c>
      <c r="AH7" s="4">
        <f>IF(AND($I7&lt;&gt;"market",$B7="Efficiency"),$C7,0)</f>
        <v>0</v>
      </c>
      <c r="AI7" s="4">
        <f>IF(AND($I7&lt;&gt;"market",$B7="1 Bedroom"),$C7,0)</f>
        <v>0</v>
      </c>
      <c r="AJ7" s="4">
        <f>IF(AND($I7&lt;&gt;"market",$B7="2 Bedroom"),$C7,0)</f>
        <v>0</v>
      </c>
      <c r="AK7" s="4">
        <f>IF(AND($I7&lt;&gt;"market",$B7="3 Bedroom"),$C7,0)</f>
        <v>0</v>
      </c>
      <c r="AL7" s="4">
        <f>IF(AND($I7&lt;&gt;"market",$B7="4 Bedroom"),$C7,0)</f>
        <v>0</v>
      </c>
      <c r="AN7" s="4">
        <f>IF(AND($I7="market",$B7="Efficiency"),$C7,0)</f>
        <v>0</v>
      </c>
      <c r="AO7" s="4">
        <f>IF(AND($I7="market",$B7="1 Bedroom"),$C7,0)</f>
        <v>0</v>
      </c>
      <c r="AP7" s="4">
        <f>IF(AND($I7="market",$B7="2 Bedroom"),$C7,0)</f>
        <v>0</v>
      </c>
      <c r="AQ7" s="4">
        <f t="shared" ref="AQ7:AQ41" si="0">IF(AND($I7="market",$B7="3 Bedroom"),$C7,0)</f>
        <v>0</v>
      </c>
      <c r="AR7" s="4">
        <f t="shared" ref="AR7:AR41" si="1">IF(AND($I7="market",$B7="4 Bedroom"),$C7,0)</f>
        <v>0</v>
      </c>
      <c r="AT7" s="4">
        <f>IF(AND($I7&lt;&gt;"market",$B7="Efficiency"),$H7,0)</f>
        <v>0</v>
      </c>
      <c r="AU7" s="4">
        <f>IF(AND($I7&lt;&gt;"market",$B7="1 Bedroom"),$H7,0)</f>
        <v>0</v>
      </c>
      <c r="AV7" s="4">
        <f>IF(AND($I7&lt;&gt;"market",$B7="2 Bedroom"),$H7,0)</f>
        <v>0</v>
      </c>
      <c r="AW7" s="4">
        <f>IF(AND($I7&lt;&gt;"market",$B7="3 Bedroom"),$H7,0)</f>
        <v>0</v>
      </c>
      <c r="AX7" s="4">
        <f>IF(AND($I7&lt;&gt;"market",$B7="4 Bedroom"),$H7,0)</f>
        <v>0</v>
      </c>
      <c r="AY7" s="835"/>
      <c r="AZ7" s="835">
        <f>IF(D7="Rehab of Existing Low-Income Housing",C7,0)</f>
        <v>0</v>
      </c>
      <c r="BA7" s="835">
        <f>IF(D7="New Construction",C7,0)</f>
        <v>0</v>
      </c>
      <c r="BB7" s="835">
        <f>IF(D7="Adaptive Re-Use",C7,0)</f>
        <v>0</v>
      </c>
      <c r="BC7" s="835">
        <f>IF(D7="Rehab of Existing Housing",C7,0)</f>
        <v>0</v>
      </c>
      <c r="BD7" s="39"/>
      <c r="BE7" s="1057">
        <f>IF(AND(B7="Efficiency",D7="Rehab of Existing Low-Income Housing"),C7,0)</f>
        <v>0</v>
      </c>
      <c r="BF7" s="1057">
        <f>IF(AND(B7="1 Bedroom",D7="Rehab of Existing Low-Income Housing"),C7,0)</f>
        <v>0</v>
      </c>
      <c r="BG7" s="1057">
        <f>IF(AND(B7="2 Bedroom",D7="Rehab of Existing Low-Income Housing"),C7,0)</f>
        <v>0</v>
      </c>
      <c r="BH7" s="1057">
        <f>IF(AND(B7="3 Bedroom",D7="Rehab of Existing Low-Income Housing"),C7,0)</f>
        <v>0</v>
      </c>
      <c r="BI7" s="1057">
        <f>IF(AND(B7="4 Bedroom",D7="Rehab of Existing Low-Income Housing"),C7,0)</f>
        <v>0</v>
      </c>
      <c r="BJ7" s="1057">
        <f>IF(AND(B7="Efficiency",D7="Rehab of Existing Housing"),C7,0)</f>
        <v>0</v>
      </c>
      <c r="BK7" s="1057">
        <f>IF(AND(B7="1 Bedroom",D7="Rehab of Existing Housing"),C7,0)</f>
        <v>0</v>
      </c>
      <c r="BL7" s="1057">
        <f>IF(AND(B7="2 Bedroom",D7="Rehab of Existing Housing"),C7,0)</f>
        <v>0</v>
      </c>
      <c r="BM7" s="1057">
        <f>IF(AND(B7="3 Bedroom",D7="Rehab of Existing Housing"),C7,0)</f>
        <v>0</v>
      </c>
      <c r="BN7" s="1057">
        <f>IF(AND(B7="4 Bedroom",D7="Rehab of Existing Housing"),C7,0)</f>
        <v>0</v>
      </c>
      <c r="BO7" s="1057">
        <f>IF(B7="Efficiency",C7-BJ7-BE7,0)</f>
        <v>0</v>
      </c>
      <c r="BP7" s="1057">
        <f>IF(B7="1 Bedroom",C7-BK7-BF7,0)</f>
        <v>0</v>
      </c>
      <c r="BQ7" s="1057">
        <f>IF(B7="2 Bedroom",C7-BL7-BG7,0)</f>
        <v>0</v>
      </c>
      <c r="BR7" s="1057">
        <f>IF(B7="3 Bedroom",C7-BM7-BH7,0)</f>
        <v>0</v>
      </c>
      <c r="BS7" s="1057">
        <f>IF(B7="4 Bedroom",C7-BN7-BI7,0)</f>
        <v>0</v>
      </c>
      <c r="BT7" s="1057"/>
      <c r="BU7" s="1057"/>
      <c r="BV7" s="1057"/>
      <c r="BW7" s="6"/>
    </row>
    <row r="8" spans="1:75" s="4" customFormat="1" ht="15.95" customHeight="1" thickTop="1" thickBot="1">
      <c r="A8" s="52">
        <v>2</v>
      </c>
      <c r="B8" s="1538"/>
      <c r="C8" s="54"/>
      <c r="D8" s="1691"/>
      <c r="E8" s="1692"/>
      <c r="F8" s="1487"/>
      <c r="G8" s="55"/>
      <c r="H8" s="56">
        <f t="shared" ref="H8:H24" si="2">C8*G8</f>
        <v>0</v>
      </c>
      <c r="I8" s="57"/>
      <c r="J8" s="58"/>
      <c r="L8" s="6"/>
      <c r="M8" s="52">
        <v>2</v>
      </c>
      <c r="N8" s="1393" t="str">
        <f>IF(B8="","",(B8))</f>
        <v/>
      </c>
      <c r="O8" s="64" t="str">
        <f t="shared" ref="O8:O41" si="3">IF(C8="","",(C8))</f>
        <v/>
      </c>
      <c r="P8" s="1689"/>
      <c r="Q8" s="1690"/>
      <c r="R8" s="65" t="str">
        <f t="shared" ref="R8:R41" si="4">IF(G8="","",(G8))</f>
        <v/>
      </c>
      <c r="S8" s="62"/>
      <c r="T8" s="855" t="str">
        <f t="shared" ref="T8:T41" si="5">IF(I8="","",(I8))</f>
        <v/>
      </c>
      <c r="U8" s="66" t="str">
        <f t="shared" ref="U8:U41" si="6">IF(J8="","",(J8))</f>
        <v/>
      </c>
      <c r="V8" s="293">
        <v>2</v>
      </c>
      <c r="X8" s="4">
        <f t="shared" ref="X8:X41" si="7">IF(I8="market",C8,0)</f>
        <v>0</v>
      </c>
      <c r="Y8" s="4">
        <f t="shared" ref="Y8:Y41" si="8">IF(I8&lt;&gt;"market",C8,0)</f>
        <v>0</v>
      </c>
      <c r="AA8" s="4">
        <f t="shared" ref="AA8:AA41" si="9">IF(I8="market",H8,0)</f>
        <v>0</v>
      </c>
      <c r="AB8" s="4">
        <f t="shared" ref="AB8:AB41" si="10">IF(I8&lt;&gt;"market",H8,0)</f>
        <v>0</v>
      </c>
      <c r="AD8" s="4">
        <f t="shared" ref="AD8:AD41" si="11">IF(I8="40% AMI",C8,0)</f>
        <v>0</v>
      </c>
      <c r="AE8" s="4">
        <f t="shared" ref="AE8:AE41" si="12">IF(I8="50% AMI",C8,0)</f>
        <v>0</v>
      </c>
      <c r="AF8" s="4">
        <f t="shared" ref="AF8:AF41" si="13">IF(I8="60% AMI",C8,0)</f>
        <v>0</v>
      </c>
      <c r="AH8" s="4">
        <f t="shared" ref="AH8:AH41" si="14">IF(AND(I8&lt;&gt;"market",B8="Efficiency"),C8,0)</f>
        <v>0</v>
      </c>
      <c r="AI8" s="4">
        <f t="shared" ref="AI8:AI41" si="15">IF(AND($I8&lt;&gt;"market",$B8="1 Bedroom"),$C8,0)</f>
        <v>0</v>
      </c>
      <c r="AJ8" s="4">
        <f t="shared" ref="AJ8:AJ41" si="16">IF(AND($I8&lt;&gt;"market",$B8="2 Bedroom"),$C8,0)</f>
        <v>0</v>
      </c>
      <c r="AK8" s="4">
        <f t="shared" ref="AK8:AK41" si="17">IF(AND($I8&lt;&gt;"market",$B8="3 Bedroom"),$C8,0)</f>
        <v>0</v>
      </c>
      <c r="AL8" s="4">
        <f t="shared" ref="AL8:AL41" si="18">IF(AND($I8&lt;&gt;"market",$B8="4 Bedroom"),$C8,0)</f>
        <v>0</v>
      </c>
      <c r="AN8" s="4">
        <f t="shared" ref="AN8:AN41" si="19">IF(AND($I8="market",$B8="Efficiency"),$C8,0)</f>
        <v>0</v>
      </c>
      <c r="AO8" s="4">
        <f t="shared" ref="AO8:AO41" si="20">IF(AND($I8="market",$B8="1 Bedroom"),$C8,0)</f>
        <v>0</v>
      </c>
      <c r="AP8" s="4">
        <f t="shared" ref="AP8:AP41" si="21">IF(AND($I8="market",$B8="2 Bedroom"),$C8,0)</f>
        <v>0</v>
      </c>
      <c r="AQ8" s="4">
        <f t="shared" si="0"/>
        <v>0</v>
      </c>
      <c r="AR8" s="4">
        <f t="shared" si="1"/>
        <v>0</v>
      </c>
      <c r="AT8" s="4">
        <f t="shared" ref="AT8:AT41" si="22">IF(AND($I8&lt;&gt;"market",$B8="Efficiency"),$H8,0)</f>
        <v>0</v>
      </c>
      <c r="AU8" s="4">
        <f t="shared" ref="AU8:AU41" si="23">IF(AND($I8&lt;&gt;"market",$B8="1 Bedroom"),$H8,0)</f>
        <v>0</v>
      </c>
      <c r="AV8" s="4">
        <f t="shared" ref="AV8:AV41" si="24">IF(AND($I8&lt;&gt;"market",$B8="2 Bedroom"),$H8,0)</f>
        <v>0</v>
      </c>
      <c r="AW8" s="4">
        <f t="shared" ref="AW8:AW41" si="25">IF(AND($I8&lt;&gt;"market",$B8="3 Bedroom"),$H8,0)</f>
        <v>0</v>
      </c>
      <c r="AX8" s="4">
        <f t="shared" ref="AX8:AX41" si="26">IF(AND($I8&lt;&gt;"market",$B8="4 Bedroom"),$H8,0)</f>
        <v>0</v>
      </c>
      <c r="AY8" s="835"/>
      <c r="AZ8" s="835">
        <f t="shared" ref="AZ8:AZ41" si="27">IF(D8="Rehab of Existing Low-Income Housing",C8,0)</f>
        <v>0</v>
      </c>
      <c r="BA8" s="835">
        <f t="shared" ref="BA8:BA41" si="28">IF(D8="New Construction",C8,0)</f>
        <v>0</v>
      </c>
      <c r="BB8" s="835">
        <f t="shared" ref="BB8:BB41" si="29">IF(D8="Adaptive Re-Use",C8,0)</f>
        <v>0</v>
      </c>
      <c r="BC8" s="835">
        <f t="shared" ref="BC8:BC41" si="30">IF(D8="Rehab of Existing Housing",C8,0)</f>
        <v>0</v>
      </c>
      <c r="BD8" s="39"/>
      <c r="BE8" s="1057">
        <f t="shared" ref="BE8:BE41" si="31">IF(AND(B8="Efficiency",D8="Rehab of Existing Low-Income Housing"),C8,0)</f>
        <v>0</v>
      </c>
      <c r="BF8" s="1057">
        <f t="shared" ref="BF8:BF41" si="32">IF(AND(B8="1 Bedroom",D8="Rehab of Existing Low-Income Housing"),C8,0)</f>
        <v>0</v>
      </c>
      <c r="BG8" s="1057">
        <f t="shared" ref="BG8:BG41" si="33">IF(AND(B8="2 Bedroom",D8="Rehab of Existing Low-Income Housing"),C8,0)</f>
        <v>0</v>
      </c>
      <c r="BH8" s="1057">
        <f t="shared" ref="BH8:BH41" si="34">IF(AND(B8="3 Bedroom",D8="Rehab of Existing Low-Income Housing"),C8,0)</f>
        <v>0</v>
      </c>
      <c r="BI8" s="1057">
        <f t="shared" ref="BI8:BI41" si="35">IF(AND(B8="4 Bedroom",D8="Rehab of Existing Low-Income Housing"),C8,0)</f>
        <v>0</v>
      </c>
      <c r="BJ8" s="1057">
        <f t="shared" ref="BJ8:BJ41" si="36">IF(AND(B8="Efficiency",D8="Rehab of Existing Housing"),C8,0)</f>
        <v>0</v>
      </c>
      <c r="BK8" s="1057">
        <f t="shared" ref="BK8:BK41" si="37">IF(AND(B8="1 Bedroom",D8="Rehab of Existing Housing"),C8,0)</f>
        <v>0</v>
      </c>
      <c r="BL8" s="1057">
        <f t="shared" ref="BL8:BL41" si="38">IF(AND(B8="2 Bedroom",D8="Rehab of Existing Housing"),C8,0)</f>
        <v>0</v>
      </c>
      <c r="BM8" s="1057">
        <f t="shared" ref="BM8:BM41" si="39">IF(AND(B8="3 Bedroom",D8="Rehab of Existing Housing"),C8,0)</f>
        <v>0</v>
      </c>
      <c r="BN8" s="1057">
        <f t="shared" ref="BN8:BN41" si="40">IF(AND(B8="4 Bedroom",D8="Rehab of Existing Housing"),C8,0)</f>
        <v>0</v>
      </c>
      <c r="BO8" s="1057">
        <f t="shared" ref="BO8:BO41" si="41">IF(B8="Efficiency",C8-BJ8-BE8,0)</f>
        <v>0</v>
      </c>
      <c r="BP8" s="1057">
        <f t="shared" ref="BP8:BP41" si="42">IF(B8="1 Bedroom",C8-BK8-BF8,0)</f>
        <v>0</v>
      </c>
      <c r="BQ8" s="1057">
        <f t="shared" ref="BQ8:BQ41" si="43">IF(B8="2 Bedroom",C8-BL8-BG8,0)</f>
        <v>0</v>
      </c>
      <c r="BR8" s="1057">
        <f t="shared" ref="BR8:BR41" si="44">IF(B8="3 Bedroom",C8-BM8-BH8,0)</f>
        <v>0</v>
      </c>
      <c r="BS8" s="1057">
        <f t="shared" ref="BS8:BS41" si="45">IF(B8="4 Bedroom",C8-BN8-BI8,0)</f>
        <v>0</v>
      </c>
      <c r="BT8" s="1057"/>
      <c r="BU8" s="1057"/>
      <c r="BV8" s="1057"/>
      <c r="BW8" s="6"/>
    </row>
    <row r="9" spans="1:75" s="4" customFormat="1" ht="15.95" customHeight="1" thickTop="1" thickBot="1">
      <c r="A9" s="52">
        <v>3</v>
      </c>
      <c r="B9" s="1538"/>
      <c r="C9" s="54"/>
      <c r="D9" s="1691"/>
      <c r="E9" s="1692"/>
      <c r="F9" s="1487"/>
      <c r="G9" s="55"/>
      <c r="H9" s="56">
        <f t="shared" si="2"/>
        <v>0</v>
      </c>
      <c r="I9" s="57"/>
      <c r="J9" s="58"/>
      <c r="L9" s="6"/>
      <c r="M9" s="52">
        <v>3</v>
      </c>
      <c r="N9" s="1393" t="str">
        <f t="shared" ref="N9:N41" si="46">IF(B9="","",(B9))</f>
        <v/>
      </c>
      <c r="O9" s="64" t="str">
        <f t="shared" si="3"/>
        <v/>
      </c>
      <c r="P9" s="1689"/>
      <c r="Q9" s="1690"/>
      <c r="R9" s="65" t="str">
        <f t="shared" si="4"/>
        <v/>
      </c>
      <c r="S9" s="62"/>
      <c r="T9" s="855" t="str">
        <f t="shared" si="5"/>
        <v/>
      </c>
      <c r="U9" s="66" t="str">
        <f t="shared" si="6"/>
        <v/>
      </c>
      <c r="X9" s="4">
        <f t="shared" si="7"/>
        <v>0</v>
      </c>
      <c r="Y9" s="4">
        <f t="shared" si="8"/>
        <v>0</v>
      </c>
      <c r="AA9" s="4">
        <f t="shared" si="9"/>
        <v>0</v>
      </c>
      <c r="AB9" s="4">
        <f t="shared" si="10"/>
        <v>0</v>
      </c>
      <c r="AD9" s="4">
        <f t="shared" si="11"/>
        <v>0</v>
      </c>
      <c r="AE9" s="4">
        <f t="shared" si="12"/>
        <v>0</v>
      </c>
      <c r="AF9" s="4">
        <f t="shared" si="13"/>
        <v>0</v>
      </c>
      <c r="AH9" s="4">
        <f t="shared" si="14"/>
        <v>0</v>
      </c>
      <c r="AI9" s="4">
        <f t="shared" si="15"/>
        <v>0</v>
      </c>
      <c r="AJ9" s="4">
        <f t="shared" si="16"/>
        <v>0</v>
      </c>
      <c r="AK9" s="4">
        <f t="shared" si="17"/>
        <v>0</v>
      </c>
      <c r="AL9" s="4">
        <f t="shared" si="18"/>
        <v>0</v>
      </c>
      <c r="AN9" s="4">
        <f t="shared" si="19"/>
        <v>0</v>
      </c>
      <c r="AO9" s="4">
        <f t="shared" si="20"/>
        <v>0</v>
      </c>
      <c r="AP9" s="4">
        <f t="shared" si="21"/>
        <v>0</v>
      </c>
      <c r="AQ9" s="4">
        <f t="shared" si="0"/>
        <v>0</v>
      </c>
      <c r="AR9" s="4">
        <f t="shared" si="1"/>
        <v>0</v>
      </c>
      <c r="AT9" s="4">
        <f t="shared" si="22"/>
        <v>0</v>
      </c>
      <c r="AU9" s="4">
        <f t="shared" si="23"/>
        <v>0</v>
      </c>
      <c r="AV9" s="4">
        <f t="shared" si="24"/>
        <v>0</v>
      </c>
      <c r="AW9" s="4">
        <f t="shared" si="25"/>
        <v>0</v>
      </c>
      <c r="AX9" s="4">
        <f t="shared" si="26"/>
        <v>0</v>
      </c>
      <c r="AY9" s="835"/>
      <c r="AZ9" s="835">
        <f t="shared" si="27"/>
        <v>0</v>
      </c>
      <c r="BA9" s="835">
        <f t="shared" si="28"/>
        <v>0</v>
      </c>
      <c r="BB9" s="835">
        <f t="shared" si="29"/>
        <v>0</v>
      </c>
      <c r="BC9" s="835">
        <f t="shared" si="30"/>
        <v>0</v>
      </c>
      <c r="BD9" s="39"/>
      <c r="BE9" s="1057">
        <f t="shared" si="31"/>
        <v>0</v>
      </c>
      <c r="BF9" s="1057">
        <f t="shared" si="32"/>
        <v>0</v>
      </c>
      <c r="BG9" s="1057">
        <f t="shared" si="33"/>
        <v>0</v>
      </c>
      <c r="BH9" s="1057">
        <f t="shared" si="34"/>
        <v>0</v>
      </c>
      <c r="BI9" s="1057">
        <f t="shared" si="35"/>
        <v>0</v>
      </c>
      <c r="BJ9" s="1057">
        <f t="shared" si="36"/>
        <v>0</v>
      </c>
      <c r="BK9" s="1057">
        <f t="shared" si="37"/>
        <v>0</v>
      </c>
      <c r="BL9" s="1057">
        <f t="shared" si="38"/>
        <v>0</v>
      </c>
      <c r="BM9" s="1057">
        <f t="shared" si="39"/>
        <v>0</v>
      </c>
      <c r="BN9" s="1057">
        <f t="shared" si="40"/>
        <v>0</v>
      </c>
      <c r="BO9" s="1057">
        <f t="shared" si="41"/>
        <v>0</v>
      </c>
      <c r="BP9" s="1057">
        <f t="shared" si="42"/>
        <v>0</v>
      </c>
      <c r="BQ9" s="1057">
        <f t="shared" si="43"/>
        <v>0</v>
      </c>
      <c r="BR9" s="1057">
        <f t="shared" si="44"/>
        <v>0</v>
      </c>
      <c r="BS9" s="1057">
        <f t="shared" si="45"/>
        <v>0</v>
      </c>
      <c r="BT9" s="1057"/>
      <c r="BU9" s="1057"/>
      <c r="BV9" s="1057"/>
      <c r="BW9" s="6"/>
    </row>
    <row r="10" spans="1:75" s="4" customFormat="1" ht="15.95" customHeight="1" thickTop="1" thickBot="1">
      <c r="A10" s="52">
        <v>4</v>
      </c>
      <c r="B10" s="1538"/>
      <c r="C10" s="54"/>
      <c r="D10" s="1691"/>
      <c r="E10" s="1692"/>
      <c r="F10" s="1487"/>
      <c r="G10" s="55"/>
      <c r="H10" s="56">
        <f t="shared" si="2"/>
        <v>0</v>
      </c>
      <c r="I10" s="57"/>
      <c r="J10" s="58"/>
      <c r="L10" s="6"/>
      <c r="M10" s="52">
        <v>4</v>
      </c>
      <c r="N10" s="1393" t="str">
        <f t="shared" si="46"/>
        <v/>
      </c>
      <c r="O10" s="64" t="str">
        <f t="shared" si="3"/>
        <v/>
      </c>
      <c r="P10" s="1689"/>
      <c r="Q10" s="1690"/>
      <c r="R10" s="65" t="str">
        <f t="shared" si="4"/>
        <v/>
      </c>
      <c r="S10" s="62"/>
      <c r="T10" s="855" t="str">
        <f t="shared" si="5"/>
        <v/>
      </c>
      <c r="U10" s="66" t="str">
        <f t="shared" si="6"/>
        <v/>
      </c>
      <c r="X10" s="4">
        <f t="shared" si="7"/>
        <v>0</v>
      </c>
      <c r="Y10" s="4">
        <f t="shared" si="8"/>
        <v>0</v>
      </c>
      <c r="AA10" s="4">
        <f t="shared" si="9"/>
        <v>0</v>
      </c>
      <c r="AB10" s="4">
        <f t="shared" si="10"/>
        <v>0</v>
      </c>
      <c r="AD10" s="4">
        <f t="shared" si="11"/>
        <v>0</v>
      </c>
      <c r="AE10" s="4">
        <f t="shared" si="12"/>
        <v>0</v>
      </c>
      <c r="AF10" s="4">
        <f t="shared" si="13"/>
        <v>0</v>
      </c>
      <c r="AH10" s="4">
        <f t="shared" si="14"/>
        <v>0</v>
      </c>
      <c r="AI10" s="4">
        <f t="shared" si="15"/>
        <v>0</v>
      </c>
      <c r="AJ10" s="4">
        <f t="shared" si="16"/>
        <v>0</v>
      </c>
      <c r="AK10" s="4">
        <f t="shared" si="17"/>
        <v>0</v>
      </c>
      <c r="AL10" s="4">
        <f t="shared" si="18"/>
        <v>0</v>
      </c>
      <c r="AN10" s="4">
        <f t="shared" si="19"/>
        <v>0</v>
      </c>
      <c r="AO10" s="4">
        <f t="shared" si="20"/>
        <v>0</v>
      </c>
      <c r="AP10" s="4">
        <f t="shared" si="21"/>
        <v>0</v>
      </c>
      <c r="AQ10" s="4">
        <f t="shared" si="0"/>
        <v>0</v>
      </c>
      <c r="AR10" s="4">
        <f t="shared" si="1"/>
        <v>0</v>
      </c>
      <c r="AT10" s="4">
        <f t="shared" si="22"/>
        <v>0</v>
      </c>
      <c r="AU10" s="4">
        <f t="shared" si="23"/>
        <v>0</v>
      </c>
      <c r="AV10" s="4">
        <f t="shared" si="24"/>
        <v>0</v>
      </c>
      <c r="AW10" s="4">
        <f t="shared" si="25"/>
        <v>0</v>
      </c>
      <c r="AX10" s="4">
        <f t="shared" si="26"/>
        <v>0</v>
      </c>
      <c r="AY10" s="835"/>
      <c r="AZ10" s="835">
        <f t="shared" si="27"/>
        <v>0</v>
      </c>
      <c r="BA10" s="835">
        <f t="shared" si="28"/>
        <v>0</v>
      </c>
      <c r="BB10" s="835">
        <f t="shared" si="29"/>
        <v>0</v>
      </c>
      <c r="BC10" s="835">
        <f t="shared" si="30"/>
        <v>0</v>
      </c>
      <c r="BD10" s="39"/>
      <c r="BE10" s="1057">
        <f t="shared" si="31"/>
        <v>0</v>
      </c>
      <c r="BF10" s="1057">
        <f t="shared" si="32"/>
        <v>0</v>
      </c>
      <c r="BG10" s="1057">
        <f t="shared" si="33"/>
        <v>0</v>
      </c>
      <c r="BH10" s="1057">
        <f t="shared" si="34"/>
        <v>0</v>
      </c>
      <c r="BI10" s="1057">
        <f t="shared" si="35"/>
        <v>0</v>
      </c>
      <c r="BJ10" s="1057">
        <f t="shared" si="36"/>
        <v>0</v>
      </c>
      <c r="BK10" s="1057">
        <f t="shared" si="37"/>
        <v>0</v>
      </c>
      <c r="BL10" s="1057">
        <f t="shared" si="38"/>
        <v>0</v>
      </c>
      <c r="BM10" s="1057">
        <f t="shared" si="39"/>
        <v>0</v>
      </c>
      <c r="BN10" s="1057">
        <f t="shared" si="40"/>
        <v>0</v>
      </c>
      <c r="BO10" s="1057">
        <f t="shared" si="41"/>
        <v>0</v>
      </c>
      <c r="BP10" s="1057">
        <f t="shared" si="42"/>
        <v>0</v>
      </c>
      <c r="BQ10" s="1057">
        <f t="shared" si="43"/>
        <v>0</v>
      </c>
      <c r="BR10" s="1057">
        <f t="shared" si="44"/>
        <v>0</v>
      </c>
      <c r="BS10" s="1057">
        <f t="shared" si="45"/>
        <v>0</v>
      </c>
      <c r="BT10" s="1057"/>
      <c r="BU10" s="1057"/>
      <c r="BV10" s="1057"/>
      <c r="BW10" s="6"/>
    </row>
    <row r="11" spans="1:75" s="4" customFormat="1" ht="15.95" customHeight="1" thickTop="1" thickBot="1">
      <c r="A11" s="52">
        <v>5</v>
      </c>
      <c r="B11" s="1538"/>
      <c r="C11" s="54"/>
      <c r="D11" s="1691"/>
      <c r="E11" s="1692"/>
      <c r="F11" s="1487"/>
      <c r="G11" s="55"/>
      <c r="H11" s="56">
        <f t="shared" si="2"/>
        <v>0</v>
      </c>
      <c r="I11" s="57"/>
      <c r="J11" s="58"/>
      <c r="L11" s="6"/>
      <c r="M11" s="52">
        <v>5</v>
      </c>
      <c r="N11" s="1393" t="str">
        <f t="shared" si="46"/>
        <v/>
      </c>
      <c r="O11" s="64" t="str">
        <f t="shared" si="3"/>
        <v/>
      </c>
      <c r="P11" s="1689"/>
      <c r="Q11" s="1690"/>
      <c r="R11" s="65" t="str">
        <f t="shared" si="4"/>
        <v/>
      </c>
      <c r="S11" s="62"/>
      <c r="T11" s="855" t="str">
        <f t="shared" si="5"/>
        <v/>
      </c>
      <c r="U11" s="66" t="str">
        <f t="shared" si="6"/>
        <v/>
      </c>
      <c r="X11" s="4">
        <f t="shared" si="7"/>
        <v>0</v>
      </c>
      <c r="Y11" s="4">
        <f t="shared" si="8"/>
        <v>0</v>
      </c>
      <c r="AA11" s="4">
        <f t="shared" si="9"/>
        <v>0</v>
      </c>
      <c r="AB11" s="4">
        <f t="shared" si="10"/>
        <v>0</v>
      </c>
      <c r="AD11" s="4">
        <f t="shared" si="11"/>
        <v>0</v>
      </c>
      <c r="AE11" s="4">
        <f t="shared" si="12"/>
        <v>0</v>
      </c>
      <c r="AF11" s="4">
        <f t="shared" si="13"/>
        <v>0</v>
      </c>
      <c r="AH11" s="4">
        <f t="shared" si="14"/>
        <v>0</v>
      </c>
      <c r="AI11" s="4">
        <f t="shared" si="15"/>
        <v>0</v>
      </c>
      <c r="AJ11" s="4">
        <f t="shared" si="16"/>
        <v>0</v>
      </c>
      <c r="AK11" s="4">
        <f t="shared" si="17"/>
        <v>0</v>
      </c>
      <c r="AL11" s="4">
        <f t="shared" si="18"/>
        <v>0</v>
      </c>
      <c r="AN11" s="4">
        <f t="shared" si="19"/>
        <v>0</v>
      </c>
      <c r="AO11" s="4">
        <f t="shared" si="20"/>
        <v>0</v>
      </c>
      <c r="AP11" s="4">
        <f t="shared" si="21"/>
        <v>0</v>
      </c>
      <c r="AQ11" s="4">
        <f t="shared" si="0"/>
        <v>0</v>
      </c>
      <c r="AR11" s="4">
        <f t="shared" si="1"/>
        <v>0</v>
      </c>
      <c r="AT11" s="4">
        <f t="shared" si="22"/>
        <v>0</v>
      </c>
      <c r="AU11" s="4">
        <f t="shared" si="23"/>
        <v>0</v>
      </c>
      <c r="AV11" s="4">
        <f t="shared" si="24"/>
        <v>0</v>
      </c>
      <c r="AW11" s="4">
        <f t="shared" si="25"/>
        <v>0</v>
      </c>
      <c r="AX11" s="4">
        <f t="shared" si="26"/>
        <v>0</v>
      </c>
      <c r="AY11" s="835"/>
      <c r="AZ11" s="835">
        <f t="shared" si="27"/>
        <v>0</v>
      </c>
      <c r="BA11" s="835">
        <f t="shared" si="28"/>
        <v>0</v>
      </c>
      <c r="BB11" s="835">
        <f t="shared" si="29"/>
        <v>0</v>
      </c>
      <c r="BC11" s="835">
        <f t="shared" si="30"/>
        <v>0</v>
      </c>
      <c r="BD11" s="39"/>
      <c r="BE11" s="1057">
        <f t="shared" si="31"/>
        <v>0</v>
      </c>
      <c r="BF11" s="1057">
        <f t="shared" si="32"/>
        <v>0</v>
      </c>
      <c r="BG11" s="1057">
        <f t="shared" si="33"/>
        <v>0</v>
      </c>
      <c r="BH11" s="1057">
        <f t="shared" si="34"/>
        <v>0</v>
      </c>
      <c r="BI11" s="1057">
        <f t="shared" si="35"/>
        <v>0</v>
      </c>
      <c r="BJ11" s="1057">
        <f t="shared" si="36"/>
        <v>0</v>
      </c>
      <c r="BK11" s="1057">
        <f t="shared" si="37"/>
        <v>0</v>
      </c>
      <c r="BL11" s="1057">
        <f t="shared" si="38"/>
        <v>0</v>
      </c>
      <c r="BM11" s="1057">
        <f t="shared" si="39"/>
        <v>0</v>
      </c>
      <c r="BN11" s="1057">
        <f t="shared" si="40"/>
        <v>0</v>
      </c>
      <c r="BO11" s="1057">
        <f t="shared" si="41"/>
        <v>0</v>
      </c>
      <c r="BP11" s="1057">
        <f t="shared" si="42"/>
        <v>0</v>
      </c>
      <c r="BQ11" s="1057">
        <f t="shared" si="43"/>
        <v>0</v>
      </c>
      <c r="BR11" s="1057">
        <f t="shared" si="44"/>
        <v>0</v>
      </c>
      <c r="BS11" s="1057">
        <f t="shared" si="45"/>
        <v>0</v>
      </c>
      <c r="BT11" s="1057"/>
      <c r="BU11" s="1057"/>
      <c r="BV11" s="1057"/>
      <c r="BW11" s="6"/>
    </row>
    <row r="12" spans="1:75" s="4" customFormat="1" ht="15.95" customHeight="1" thickTop="1" thickBot="1">
      <c r="A12" s="52">
        <v>6</v>
      </c>
      <c r="B12" s="1538"/>
      <c r="C12" s="54"/>
      <c r="D12" s="1691"/>
      <c r="E12" s="1692"/>
      <c r="F12" s="1487"/>
      <c r="G12" s="55"/>
      <c r="H12" s="56">
        <f t="shared" si="2"/>
        <v>0</v>
      </c>
      <c r="I12" s="57"/>
      <c r="J12" s="58"/>
      <c r="L12" s="6"/>
      <c r="M12" s="52">
        <v>6</v>
      </c>
      <c r="N12" s="1393" t="str">
        <f t="shared" si="46"/>
        <v/>
      </c>
      <c r="O12" s="64" t="str">
        <f t="shared" si="3"/>
        <v/>
      </c>
      <c r="P12" s="1689"/>
      <c r="Q12" s="1690"/>
      <c r="R12" s="65" t="str">
        <f t="shared" si="4"/>
        <v/>
      </c>
      <c r="S12" s="62"/>
      <c r="T12" s="855" t="str">
        <f t="shared" si="5"/>
        <v/>
      </c>
      <c r="U12" s="66" t="str">
        <f t="shared" si="6"/>
        <v/>
      </c>
      <c r="X12" s="4">
        <f t="shared" si="7"/>
        <v>0</v>
      </c>
      <c r="Y12" s="4">
        <f t="shared" si="8"/>
        <v>0</v>
      </c>
      <c r="AA12" s="4">
        <f t="shared" si="9"/>
        <v>0</v>
      </c>
      <c r="AB12" s="4">
        <f t="shared" si="10"/>
        <v>0</v>
      </c>
      <c r="AD12" s="4">
        <f t="shared" si="11"/>
        <v>0</v>
      </c>
      <c r="AE12" s="4">
        <f t="shared" si="12"/>
        <v>0</v>
      </c>
      <c r="AF12" s="4">
        <f t="shared" si="13"/>
        <v>0</v>
      </c>
      <c r="AH12" s="4">
        <f t="shared" si="14"/>
        <v>0</v>
      </c>
      <c r="AI12" s="4">
        <f t="shared" si="15"/>
        <v>0</v>
      </c>
      <c r="AJ12" s="4">
        <f t="shared" si="16"/>
        <v>0</v>
      </c>
      <c r="AK12" s="4">
        <f t="shared" si="17"/>
        <v>0</v>
      </c>
      <c r="AL12" s="4">
        <f t="shared" si="18"/>
        <v>0</v>
      </c>
      <c r="AN12" s="4">
        <f t="shared" si="19"/>
        <v>0</v>
      </c>
      <c r="AO12" s="4">
        <f t="shared" si="20"/>
        <v>0</v>
      </c>
      <c r="AP12" s="4">
        <f t="shared" si="21"/>
        <v>0</v>
      </c>
      <c r="AQ12" s="4">
        <f t="shared" si="0"/>
        <v>0</v>
      </c>
      <c r="AR12" s="4">
        <f t="shared" si="1"/>
        <v>0</v>
      </c>
      <c r="AT12" s="4">
        <f t="shared" si="22"/>
        <v>0</v>
      </c>
      <c r="AU12" s="4">
        <f t="shared" si="23"/>
        <v>0</v>
      </c>
      <c r="AV12" s="4">
        <f t="shared" si="24"/>
        <v>0</v>
      </c>
      <c r="AW12" s="4">
        <f t="shared" si="25"/>
        <v>0</v>
      </c>
      <c r="AX12" s="4">
        <f t="shared" si="26"/>
        <v>0</v>
      </c>
      <c r="AY12" s="835"/>
      <c r="AZ12" s="835">
        <f t="shared" si="27"/>
        <v>0</v>
      </c>
      <c r="BA12" s="835">
        <f t="shared" si="28"/>
        <v>0</v>
      </c>
      <c r="BB12" s="835">
        <f t="shared" si="29"/>
        <v>0</v>
      </c>
      <c r="BC12" s="835">
        <f t="shared" si="30"/>
        <v>0</v>
      </c>
      <c r="BD12" s="39"/>
      <c r="BE12" s="1057">
        <f t="shared" si="31"/>
        <v>0</v>
      </c>
      <c r="BF12" s="1057">
        <f t="shared" si="32"/>
        <v>0</v>
      </c>
      <c r="BG12" s="1057">
        <f t="shared" si="33"/>
        <v>0</v>
      </c>
      <c r="BH12" s="1057">
        <f t="shared" si="34"/>
        <v>0</v>
      </c>
      <c r="BI12" s="1057">
        <f t="shared" si="35"/>
        <v>0</v>
      </c>
      <c r="BJ12" s="1057">
        <f t="shared" si="36"/>
        <v>0</v>
      </c>
      <c r="BK12" s="1057">
        <f t="shared" si="37"/>
        <v>0</v>
      </c>
      <c r="BL12" s="1057">
        <f t="shared" si="38"/>
        <v>0</v>
      </c>
      <c r="BM12" s="1057">
        <f t="shared" si="39"/>
        <v>0</v>
      </c>
      <c r="BN12" s="1057">
        <f t="shared" si="40"/>
        <v>0</v>
      </c>
      <c r="BO12" s="1057">
        <f t="shared" si="41"/>
        <v>0</v>
      </c>
      <c r="BP12" s="1057">
        <f t="shared" si="42"/>
        <v>0</v>
      </c>
      <c r="BQ12" s="1057">
        <f t="shared" si="43"/>
        <v>0</v>
      </c>
      <c r="BR12" s="1057">
        <f t="shared" si="44"/>
        <v>0</v>
      </c>
      <c r="BS12" s="1057">
        <f t="shared" si="45"/>
        <v>0</v>
      </c>
      <c r="BT12" s="1057"/>
      <c r="BU12" s="1057"/>
      <c r="BV12" s="1057"/>
      <c r="BW12" s="6"/>
    </row>
    <row r="13" spans="1:75" s="4" customFormat="1" ht="15.95" customHeight="1" thickTop="1" thickBot="1">
      <c r="A13" s="52">
        <v>7</v>
      </c>
      <c r="B13" s="1538"/>
      <c r="C13" s="54"/>
      <c r="D13" s="1691"/>
      <c r="E13" s="1692"/>
      <c r="F13" s="1487"/>
      <c r="G13" s="55"/>
      <c r="H13" s="56">
        <f t="shared" si="2"/>
        <v>0</v>
      </c>
      <c r="I13" s="57"/>
      <c r="J13" s="58"/>
      <c r="L13" s="6"/>
      <c r="M13" s="52">
        <v>7</v>
      </c>
      <c r="N13" s="1393" t="str">
        <f t="shared" si="46"/>
        <v/>
      </c>
      <c r="O13" s="64" t="str">
        <f t="shared" si="3"/>
        <v/>
      </c>
      <c r="P13" s="1689"/>
      <c r="Q13" s="1690"/>
      <c r="R13" s="65" t="str">
        <f t="shared" si="4"/>
        <v/>
      </c>
      <c r="S13" s="62"/>
      <c r="T13" s="855" t="str">
        <f t="shared" si="5"/>
        <v/>
      </c>
      <c r="U13" s="66" t="str">
        <f t="shared" si="6"/>
        <v/>
      </c>
      <c r="X13" s="4">
        <f t="shared" si="7"/>
        <v>0</v>
      </c>
      <c r="Y13" s="4">
        <f t="shared" si="8"/>
        <v>0</v>
      </c>
      <c r="AA13" s="4">
        <f t="shared" si="9"/>
        <v>0</v>
      </c>
      <c r="AB13" s="4">
        <f t="shared" si="10"/>
        <v>0</v>
      </c>
      <c r="AD13" s="4">
        <f t="shared" si="11"/>
        <v>0</v>
      </c>
      <c r="AE13" s="4">
        <f t="shared" si="12"/>
        <v>0</v>
      </c>
      <c r="AF13" s="4">
        <f t="shared" si="13"/>
        <v>0</v>
      </c>
      <c r="AH13" s="4">
        <f t="shared" si="14"/>
        <v>0</v>
      </c>
      <c r="AI13" s="4">
        <f t="shared" si="15"/>
        <v>0</v>
      </c>
      <c r="AJ13" s="4">
        <f t="shared" si="16"/>
        <v>0</v>
      </c>
      <c r="AK13" s="4">
        <f t="shared" si="17"/>
        <v>0</v>
      </c>
      <c r="AL13" s="4">
        <f t="shared" si="18"/>
        <v>0</v>
      </c>
      <c r="AN13" s="4">
        <f t="shared" si="19"/>
        <v>0</v>
      </c>
      <c r="AO13" s="4">
        <f t="shared" si="20"/>
        <v>0</v>
      </c>
      <c r="AP13" s="4">
        <f t="shared" si="21"/>
        <v>0</v>
      </c>
      <c r="AQ13" s="4">
        <f t="shared" si="0"/>
        <v>0</v>
      </c>
      <c r="AR13" s="4">
        <f t="shared" si="1"/>
        <v>0</v>
      </c>
      <c r="AT13" s="4">
        <f t="shared" si="22"/>
        <v>0</v>
      </c>
      <c r="AU13" s="4">
        <f t="shared" si="23"/>
        <v>0</v>
      </c>
      <c r="AV13" s="4">
        <f t="shared" si="24"/>
        <v>0</v>
      </c>
      <c r="AW13" s="4">
        <f t="shared" si="25"/>
        <v>0</v>
      </c>
      <c r="AX13" s="4">
        <f t="shared" si="26"/>
        <v>0</v>
      </c>
      <c r="AY13" s="835"/>
      <c r="AZ13" s="835">
        <f t="shared" si="27"/>
        <v>0</v>
      </c>
      <c r="BA13" s="835">
        <f t="shared" si="28"/>
        <v>0</v>
      </c>
      <c r="BB13" s="835">
        <f t="shared" si="29"/>
        <v>0</v>
      </c>
      <c r="BC13" s="835">
        <f t="shared" si="30"/>
        <v>0</v>
      </c>
      <c r="BD13" s="39"/>
      <c r="BE13" s="1057">
        <f t="shared" si="31"/>
        <v>0</v>
      </c>
      <c r="BF13" s="1057">
        <f t="shared" si="32"/>
        <v>0</v>
      </c>
      <c r="BG13" s="1057">
        <f t="shared" si="33"/>
        <v>0</v>
      </c>
      <c r="BH13" s="1057">
        <f t="shared" si="34"/>
        <v>0</v>
      </c>
      <c r="BI13" s="1057">
        <f t="shared" si="35"/>
        <v>0</v>
      </c>
      <c r="BJ13" s="1057">
        <f t="shared" si="36"/>
        <v>0</v>
      </c>
      <c r="BK13" s="1057">
        <f t="shared" si="37"/>
        <v>0</v>
      </c>
      <c r="BL13" s="1057">
        <f t="shared" si="38"/>
        <v>0</v>
      </c>
      <c r="BM13" s="1057">
        <f t="shared" si="39"/>
        <v>0</v>
      </c>
      <c r="BN13" s="1057">
        <f t="shared" si="40"/>
        <v>0</v>
      </c>
      <c r="BO13" s="1057">
        <f t="shared" si="41"/>
        <v>0</v>
      </c>
      <c r="BP13" s="1057">
        <f t="shared" si="42"/>
        <v>0</v>
      </c>
      <c r="BQ13" s="1057">
        <f t="shared" si="43"/>
        <v>0</v>
      </c>
      <c r="BR13" s="1057">
        <f t="shared" si="44"/>
        <v>0</v>
      </c>
      <c r="BS13" s="1057">
        <f t="shared" si="45"/>
        <v>0</v>
      </c>
      <c r="BT13" s="1057"/>
      <c r="BU13" s="1057"/>
      <c r="BV13" s="1057"/>
      <c r="BW13" s="6"/>
    </row>
    <row r="14" spans="1:75" s="4" customFormat="1" ht="15.95" customHeight="1" thickTop="1" thickBot="1">
      <c r="A14" s="52">
        <v>8</v>
      </c>
      <c r="B14" s="1538"/>
      <c r="C14" s="54"/>
      <c r="D14" s="1691"/>
      <c r="E14" s="1692"/>
      <c r="F14" s="1487"/>
      <c r="G14" s="55"/>
      <c r="H14" s="56">
        <f t="shared" si="2"/>
        <v>0</v>
      </c>
      <c r="I14" s="57"/>
      <c r="J14" s="58"/>
      <c r="L14" s="6"/>
      <c r="M14" s="52">
        <v>8</v>
      </c>
      <c r="N14" s="1393" t="str">
        <f t="shared" si="46"/>
        <v/>
      </c>
      <c r="O14" s="64" t="str">
        <f t="shared" si="3"/>
        <v/>
      </c>
      <c r="P14" s="1689"/>
      <c r="Q14" s="1690"/>
      <c r="R14" s="65" t="str">
        <f t="shared" si="4"/>
        <v/>
      </c>
      <c r="S14" s="62"/>
      <c r="T14" s="855" t="str">
        <f t="shared" si="5"/>
        <v/>
      </c>
      <c r="U14" s="66" t="str">
        <f t="shared" si="6"/>
        <v/>
      </c>
      <c r="X14" s="4">
        <f t="shared" si="7"/>
        <v>0</v>
      </c>
      <c r="Y14" s="4">
        <f t="shared" si="8"/>
        <v>0</v>
      </c>
      <c r="AA14" s="4">
        <f t="shared" si="9"/>
        <v>0</v>
      </c>
      <c r="AB14" s="4">
        <f t="shared" si="10"/>
        <v>0</v>
      </c>
      <c r="AD14" s="4">
        <f t="shared" si="11"/>
        <v>0</v>
      </c>
      <c r="AE14" s="4">
        <f t="shared" si="12"/>
        <v>0</v>
      </c>
      <c r="AF14" s="4">
        <f t="shared" si="13"/>
        <v>0</v>
      </c>
      <c r="AH14" s="4">
        <f t="shared" si="14"/>
        <v>0</v>
      </c>
      <c r="AI14" s="4">
        <f t="shared" si="15"/>
        <v>0</v>
      </c>
      <c r="AJ14" s="4">
        <f t="shared" si="16"/>
        <v>0</v>
      </c>
      <c r="AK14" s="4">
        <f t="shared" si="17"/>
        <v>0</v>
      </c>
      <c r="AL14" s="4">
        <f t="shared" si="18"/>
        <v>0</v>
      </c>
      <c r="AN14" s="4">
        <f t="shared" si="19"/>
        <v>0</v>
      </c>
      <c r="AO14" s="4">
        <f t="shared" si="20"/>
        <v>0</v>
      </c>
      <c r="AP14" s="4">
        <f t="shared" si="21"/>
        <v>0</v>
      </c>
      <c r="AQ14" s="4">
        <f t="shared" si="0"/>
        <v>0</v>
      </c>
      <c r="AR14" s="4">
        <f t="shared" si="1"/>
        <v>0</v>
      </c>
      <c r="AT14" s="4">
        <f t="shared" si="22"/>
        <v>0</v>
      </c>
      <c r="AU14" s="4">
        <f t="shared" si="23"/>
        <v>0</v>
      </c>
      <c r="AV14" s="4">
        <f t="shared" si="24"/>
        <v>0</v>
      </c>
      <c r="AW14" s="4">
        <f t="shared" si="25"/>
        <v>0</v>
      </c>
      <c r="AX14" s="4">
        <f t="shared" si="26"/>
        <v>0</v>
      </c>
      <c r="AY14" s="835"/>
      <c r="AZ14" s="835">
        <f t="shared" si="27"/>
        <v>0</v>
      </c>
      <c r="BA14" s="835">
        <f t="shared" si="28"/>
        <v>0</v>
      </c>
      <c r="BB14" s="835">
        <f t="shared" si="29"/>
        <v>0</v>
      </c>
      <c r="BC14" s="835">
        <f t="shared" si="30"/>
        <v>0</v>
      </c>
      <c r="BD14" s="39"/>
      <c r="BE14" s="1057">
        <f t="shared" si="31"/>
        <v>0</v>
      </c>
      <c r="BF14" s="1057">
        <f t="shared" si="32"/>
        <v>0</v>
      </c>
      <c r="BG14" s="1057">
        <f t="shared" si="33"/>
        <v>0</v>
      </c>
      <c r="BH14" s="1057">
        <f t="shared" si="34"/>
        <v>0</v>
      </c>
      <c r="BI14" s="1057">
        <f t="shared" si="35"/>
        <v>0</v>
      </c>
      <c r="BJ14" s="1057">
        <f t="shared" si="36"/>
        <v>0</v>
      </c>
      <c r="BK14" s="1057">
        <f t="shared" si="37"/>
        <v>0</v>
      </c>
      <c r="BL14" s="1057">
        <f t="shared" si="38"/>
        <v>0</v>
      </c>
      <c r="BM14" s="1057">
        <f t="shared" si="39"/>
        <v>0</v>
      </c>
      <c r="BN14" s="1057">
        <f t="shared" si="40"/>
        <v>0</v>
      </c>
      <c r="BO14" s="1057">
        <f t="shared" si="41"/>
        <v>0</v>
      </c>
      <c r="BP14" s="1057">
        <f t="shared" si="42"/>
        <v>0</v>
      </c>
      <c r="BQ14" s="1057">
        <f t="shared" si="43"/>
        <v>0</v>
      </c>
      <c r="BR14" s="1057">
        <f t="shared" si="44"/>
        <v>0</v>
      </c>
      <c r="BS14" s="1057">
        <f t="shared" si="45"/>
        <v>0</v>
      </c>
      <c r="BT14" s="1057"/>
      <c r="BU14" s="1057"/>
      <c r="BV14" s="1057"/>
      <c r="BW14" s="6"/>
    </row>
    <row r="15" spans="1:75" s="4" customFormat="1" ht="15.95" customHeight="1" thickTop="1" thickBot="1">
      <c r="A15" s="52">
        <v>9</v>
      </c>
      <c r="B15" s="1538"/>
      <c r="C15" s="54"/>
      <c r="D15" s="1691"/>
      <c r="E15" s="1692"/>
      <c r="F15" s="1487"/>
      <c r="G15" s="55"/>
      <c r="H15" s="56">
        <f t="shared" si="2"/>
        <v>0</v>
      </c>
      <c r="I15" s="57"/>
      <c r="J15" s="58"/>
      <c r="L15" s="6"/>
      <c r="M15" s="52">
        <v>9</v>
      </c>
      <c r="N15" s="1393" t="str">
        <f t="shared" si="46"/>
        <v/>
      </c>
      <c r="O15" s="64" t="str">
        <f t="shared" si="3"/>
        <v/>
      </c>
      <c r="P15" s="1689"/>
      <c r="Q15" s="1690"/>
      <c r="R15" s="65" t="str">
        <f t="shared" si="4"/>
        <v/>
      </c>
      <c r="S15" s="62"/>
      <c r="T15" s="855" t="str">
        <f t="shared" si="5"/>
        <v/>
      </c>
      <c r="U15" s="66" t="str">
        <f t="shared" si="6"/>
        <v/>
      </c>
      <c r="X15" s="4">
        <f t="shared" si="7"/>
        <v>0</v>
      </c>
      <c r="Y15" s="4">
        <f t="shared" si="8"/>
        <v>0</v>
      </c>
      <c r="AA15" s="4">
        <f t="shared" si="9"/>
        <v>0</v>
      </c>
      <c r="AB15" s="4">
        <f t="shared" si="10"/>
        <v>0</v>
      </c>
      <c r="AD15" s="4">
        <f t="shared" si="11"/>
        <v>0</v>
      </c>
      <c r="AE15" s="4">
        <f t="shared" si="12"/>
        <v>0</v>
      </c>
      <c r="AF15" s="4">
        <f t="shared" si="13"/>
        <v>0</v>
      </c>
      <c r="AH15" s="4">
        <f t="shared" si="14"/>
        <v>0</v>
      </c>
      <c r="AI15" s="4">
        <f t="shared" si="15"/>
        <v>0</v>
      </c>
      <c r="AJ15" s="4">
        <f t="shared" si="16"/>
        <v>0</v>
      </c>
      <c r="AK15" s="4">
        <f t="shared" si="17"/>
        <v>0</v>
      </c>
      <c r="AL15" s="4">
        <f t="shared" si="18"/>
        <v>0</v>
      </c>
      <c r="AN15" s="4">
        <f t="shared" si="19"/>
        <v>0</v>
      </c>
      <c r="AO15" s="4">
        <f t="shared" si="20"/>
        <v>0</v>
      </c>
      <c r="AP15" s="4">
        <f t="shared" si="21"/>
        <v>0</v>
      </c>
      <c r="AQ15" s="4">
        <f t="shared" si="0"/>
        <v>0</v>
      </c>
      <c r="AR15" s="4">
        <f t="shared" si="1"/>
        <v>0</v>
      </c>
      <c r="AT15" s="4">
        <f t="shared" si="22"/>
        <v>0</v>
      </c>
      <c r="AU15" s="4">
        <f t="shared" si="23"/>
        <v>0</v>
      </c>
      <c r="AV15" s="4">
        <f t="shared" si="24"/>
        <v>0</v>
      </c>
      <c r="AW15" s="4">
        <f t="shared" si="25"/>
        <v>0</v>
      </c>
      <c r="AX15" s="4">
        <f t="shared" si="26"/>
        <v>0</v>
      </c>
      <c r="AY15" s="835"/>
      <c r="AZ15" s="835">
        <f t="shared" si="27"/>
        <v>0</v>
      </c>
      <c r="BA15" s="835">
        <f t="shared" si="28"/>
        <v>0</v>
      </c>
      <c r="BB15" s="835">
        <f t="shared" si="29"/>
        <v>0</v>
      </c>
      <c r="BC15" s="835">
        <f t="shared" si="30"/>
        <v>0</v>
      </c>
      <c r="BD15" s="39"/>
      <c r="BE15" s="1057">
        <f t="shared" si="31"/>
        <v>0</v>
      </c>
      <c r="BF15" s="1057">
        <f t="shared" si="32"/>
        <v>0</v>
      </c>
      <c r="BG15" s="1057">
        <f t="shared" si="33"/>
        <v>0</v>
      </c>
      <c r="BH15" s="1057">
        <f t="shared" si="34"/>
        <v>0</v>
      </c>
      <c r="BI15" s="1057">
        <f t="shared" si="35"/>
        <v>0</v>
      </c>
      <c r="BJ15" s="1057">
        <f t="shared" si="36"/>
        <v>0</v>
      </c>
      <c r="BK15" s="1057">
        <f t="shared" si="37"/>
        <v>0</v>
      </c>
      <c r="BL15" s="1057">
        <f t="shared" si="38"/>
        <v>0</v>
      </c>
      <c r="BM15" s="1057">
        <f t="shared" si="39"/>
        <v>0</v>
      </c>
      <c r="BN15" s="1057">
        <f t="shared" si="40"/>
        <v>0</v>
      </c>
      <c r="BO15" s="1057">
        <f t="shared" si="41"/>
        <v>0</v>
      </c>
      <c r="BP15" s="1057">
        <f t="shared" si="42"/>
        <v>0</v>
      </c>
      <c r="BQ15" s="1057">
        <f t="shared" si="43"/>
        <v>0</v>
      </c>
      <c r="BR15" s="1057">
        <f t="shared" si="44"/>
        <v>0</v>
      </c>
      <c r="BS15" s="1057">
        <f t="shared" si="45"/>
        <v>0</v>
      </c>
      <c r="BT15" s="1057"/>
      <c r="BU15" s="1057"/>
      <c r="BV15" s="1057"/>
      <c r="BW15" s="6"/>
    </row>
    <row r="16" spans="1:75" s="4" customFormat="1" ht="15.95" customHeight="1" thickTop="1" thickBot="1">
      <c r="A16" s="52">
        <v>10</v>
      </c>
      <c r="B16" s="1538"/>
      <c r="C16" s="54"/>
      <c r="D16" s="1691"/>
      <c r="E16" s="1692"/>
      <c r="F16" s="1487"/>
      <c r="G16" s="55"/>
      <c r="H16" s="56">
        <f t="shared" si="2"/>
        <v>0</v>
      </c>
      <c r="I16" s="57"/>
      <c r="J16" s="58"/>
      <c r="L16" s="6"/>
      <c r="M16" s="52">
        <v>10</v>
      </c>
      <c r="N16" s="1393" t="str">
        <f t="shared" si="46"/>
        <v/>
      </c>
      <c r="O16" s="64" t="str">
        <f t="shared" si="3"/>
        <v/>
      </c>
      <c r="P16" s="1689"/>
      <c r="Q16" s="1690"/>
      <c r="R16" s="65" t="str">
        <f t="shared" si="4"/>
        <v/>
      </c>
      <c r="S16" s="62"/>
      <c r="T16" s="855" t="str">
        <f t="shared" si="5"/>
        <v/>
      </c>
      <c r="U16" s="66" t="str">
        <f t="shared" si="6"/>
        <v/>
      </c>
      <c r="X16" s="4">
        <f t="shared" si="7"/>
        <v>0</v>
      </c>
      <c r="Y16" s="4">
        <f t="shared" si="8"/>
        <v>0</v>
      </c>
      <c r="AA16" s="4">
        <f t="shared" si="9"/>
        <v>0</v>
      </c>
      <c r="AB16" s="4">
        <f t="shared" si="10"/>
        <v>0</v>
      </c>
      <c r="AD16" s="4">
        <f t="shared" si="11"/>
        <v>0</v>
      </c>
      <c r="AE16" s="4">
        <f t="shared" si="12"/>
        <v>0</v>
      </c>
      <c r="AF16" s="4">
        <f t="shared" si="13"/>
        <v>0</v>
      </c>
      <c r="AH16" s="4">
        <f t="shared" si="14"/>
        <v>0</v>
      </c>
      <c r="AI16" s="4">
        <f t="shared" si="15"/>
        <v>0</v>
      </c>
      <c r="AJ16" s="4">
        <f t="shared" si="16"/>
        <v>0</v>
      </c>
      <c r="AK16" s="4">
        <f t="shared" si="17"/>
        <v>0</v>
      </c>
      <c r="AL16" s="4">
        <f t="shared" si="18"/>
        <v>0</v>
      </c>
      <c r="AN16" s="4">
        <f t="shared" si="19"/>
        <v>0</v>
      </c>
      <c r="AO16" s="4">
        <f t="shared" si="20"/>
        <v>0</v>
      </c>
      <c r="AP16" s="4">
        <f t="shared" si="21"/>
        <v>0</v>
      </c>
      <c r="AQ16" s="4">
        <f t="shared" si="0"/>
        <v>0</v>
      </c>
      <c r="AR16" s="4">
        <f t="shared" si="1"/>
        <v>0</v>
      </c>
      <c r="AT16" s="4">
        <f t="shared" si="22"/>
        <v>0</v>
      </c>
      <c r="AU16" s="4">
        <f t="shared" si="23"/>
        <v>0</v>
      </c>
      <c r="AV16" s="4">
        <f t="shared" si="24"/>
        <v>0</v>
      </c>
      <c r="AW16" s="4">
        <f t="shared" si="25"/>
        <v>0</v>
      </c>
      <c r="AX16" s="4">
        <f t="shared" si="26"/>
        <v>0</v>
      </c>
      <c r="AY16" s="835"/>
      <c r="AZ16" s="835">
        <f t="shared" si="27"/>
        <v>0</v>
      </c>
      <c r="BA16" s="835">
        <f t="shared" si="28"/>
        <v>0</v>
      </c>
      <c r="BB16" s="835">
        <f t="shared" si="29"/>
        <v>0</v>
      </c>
      <c r="BC16" s="835">
        <f t="shared" si="30"/>
        <v>0</v>
      </c>
      <c r="BD16" s="39"/>
      <c r="BE16" s="1057">
        <f t="shared" si="31"/>
        <v>0</v>
      </c>
      <c r="BF16" s="1057">
        <f t="shared" si="32"/>
        <v>0</v>
      </c>
      <c r="BG16" s="1057">
        <f t="shared" si="33"/>
        <v>0</v>
      </c>
      <c r="BH16" s="1057">
        <f t="shared" si="34"/>
        <v>0</v>
      </c>
      <c r="BI16" s="1057">
        <f t="shared" si="35"/>
        <v>0</v>
      </c>
      <c r="BJ16" s="1057">
        <f t="shared" si="36"/>
        <v>0</v>
      </c>
      <c r="BK16" s="1057">
        <f t="shared" si="37"/>
        <v>0</v>
      </c>
      <c r="BL16" s="1057">
        <f t="shared" si="38"/>
        <v>0</v>
      </c>
      <c r="BM16" s="1057">
        <f t="shared" si="39"/>
        <v>0</v>
      </c>
      <c r="BN16" s="1057">
        <f t="shared" si="40"/>
        <v>0</v>
      </c>
      <c r="BO16" s="1057">
        <f t="shared" si="41"/>
        <v>0</v>
      </c>
      <c r="BP16" s="1057">
        <f t="shared" si="42"/>
        <v>0</v>
      </c>
      <c r="BQ16" s="1057">
        <f t="shared" si="43"/>
        <v>0</v>
      </c>
      <c r="BR16" s="1057">
        <f t="shared" si="44"/>
        <v>0</v>
      </c>
      <c r="BS16" s="1057">
        <f t="shared" si="45"/>
        <v>0</v>
      </c>
      <c r="BT16" s="1057"/>
      <c r="BU16" s="1057"/>
      <c r="BV16" s="1057"/>
      <c r="BW16" s="6"/>
    </row>
    <row r="17" spans="1:75" s="4" customFormat="1" ht="15.95" customHeight="1" thickTop="1" thickBot="1">
      <c r="A17" s="52">
        <v>11</v>
      </c>
      <c r="B17" s="1538"/>
      <c r="C17" s="54"/>
      <c r="D17" s="1691"/>
      <c r="E17" s="1692"/>
      <c r="F17" s="1487"/>
      <c r="G17" s="55"/>
      <c r="H17" s="56">
        <f t="shared" si="2"/>
        <v>0</v>
      </c>
      <c r="I17" s="57"/>
      <c r="J17" s="58"/>
      <c r="L17" s="6"/>
      <c r="M17" s="52">
        <v>11</v>
      </c>
      <c r="N17" s="1393" t="str">
        <f t="shared" si="46"/>
        <v/>
      </c>
      <c r="O17" s="64" t="str">
        <f t="shared" si="3"/>
        <v/>
      </c>
      <c r="P17" s="1689"/>
      <c r="Q17" s="1690"/>
      <c r="R17" s="65" t="str">
        <f t="shared" si="4"/>
        <v/>
      </c>
      <c r="S17" s="62"/>
      <c r="T17" s="855" t="str">
        <f t="shared" si="5"/>
        <v/>
      </c>
      <c r="U17" s="66" t="str">
        <f t="shared" si="6"/>
        <v/>
      </c>
      <c r="X17" s="4">
        <f t="shared" si="7"/>
        <v>0</v>
      </c>
      <c r="Y17" s="4">
        <f t="shared" si="8"/>
        <v>0</v>
      </c>
      <c r="AA17" s="4">
        <f t="shared" si="9"/>
        <v>0</v>
      </c>
      <c r="AB17" s="4">
        <f t="shared" si="10"/>
        <v>0</v>
      </c>
      <c r="AD17" s="4">
        <f t="shared" si="11"/>
        <v>0</v>
      </c>
      <c r="AE17" s="4">
        <f t="shared" si="12"/>
        <v>0</v>
      </c>
      <c r="AF17" s="4">
        <f t="shared" si="13"/>
        <v>0</v>
      </c>
      <c r="AH17" s="4">
        <f t="shared" si="14"/>
        <v>0</v>
      </c>
      <c r="AI17" s="4">
        <f t="shared" si="15"/>
        <v>0</v>
      </c>
      <c r="AJ17" s="4">
        <f t="shared" si="16"/>
        <v>0</v>
      </c>
      <c r="AK17" s="4">
        <f t="shared" si="17"/>
        <v>0</v>
      </c>
      <c r="AL17" s="4">
        <f t="shared" si="18"/>
        <v>0</v>
      </c>
      <c r="AN17" s="4">
        <f t="shared" si="19"/>
        <v>0</v>
      </c>
      <c r="AO17" s="4">
        <f t="shared" si="20"/>
        <v>0</v>
      </c>
      <c r="AP17" s="4">
        <f t="shared" si="21"/>
        <v>0</v>
      </c>
      <c r="AQ17" s="4">
        <f t="shared" si="0"/>
        <v>0</v>
      </c>
      <c r="AR17" s="4">
        <f t="shared" si="1"/>
        <v>0</v>
      </c>
      <c r="AT17" s="4">
        <f t="shared" si="22"/>
        <v>0</v>
      </c>
      <c r="AU17" s="4">
        <f t="shared" si="23"/>
        <v>0</v>
      </c>
      <c r="AV17" s="4">
        <f t="shared" si="24"/>
        <v>0</v>
      </c>
      <c r="AW17" s="4">
        <f t="shared" si="25"/>
        <v>0</v>
      </c>
      <c r="AX17" s="4">
        <f t="shared" si="26"/>
        <v>0</v>
      </c>
      <c r="AY17" s="835"/>
      <c r="AZ17" s="835">
        <f t="shared" si="27"/>
        <v>0</v>
      </c>
      <c r="BA17" s="835">
        <f t="shared" si="28"/>
        <v>0</v>
      </c>
      <c r="BB17" s="835">
        <f t="shared" si="29"/>
        <v>0</v>
      </c>
      <c r="BC17" s="835">
        <f t="shared" si="30"/>
        <v>0</v>
      </c>
      <c r="BD17" s="39"/>
      <c r="BE17" s="1057">
        <f t="shared" si="31"/>
        <v>0</v>
      </c>
      <c r="BF17" s="1057">
        <f t="shared" si="32"/>
        <v>0</v>
      </c>
      <c r="BG17" s="1057">
        <f t="shared" si="33"/>
        <v>0</v>
      </c>
      <c r="BH17" s="1057">
        <f t="shared" si="34"/>
        <v>0</v>
      </c>
      <c r="BI17" s="1057">
        <f t="shared" si="35"/>
        <v>0</v>
      </c>
      <c r="BJ17" s="1057">
        <f t="shared" si="36"/>
        <v>0</v>
      </c>
      <c r="BK17" s="1057">
        <f t="shared" si="37"/>
        <v>0</v>
      </c>
      <c r="BL17" s="1057">
        <f t="shared" si="38"/>
        <v>0</v>
      </c>
      <c r="BM17" s="1057">
        <f t="shared" si="39"/>
        <v>0</v>
      </c>
      <c r="BN17" s="1057">
        <f t="shared" si="40"/>
        <v>0</v>
      </c>
      <c r="BO17" s="1057">
        <f t="shared" si="41"/>
        <v>0</v>
      </c>
      <c r="BP17" s="1057">
        <f t="shared" si="42"/>
        <v>0</v>
      </c>
      <c r="BQ17" s="1057">
        <f t="shared" si="43"/>
        <v>0</v>
      </c>
      <c r="BR17" s="1057">
        <f t="shared" si="44"/>
        <v>0</v>
      </c>
      <c r="BS17" s="1057">
        <f t="shared" si="45"/>
        <v>0</v>
      </c>
      <c r="BT17" s="1057"/>
      <c r="BU17" s="1057"/>
      <c r="BV17" s="1057"/>
      <c r="BW17" s="6"/>
    </row>
    <row r="18" spans="1:75" s="4" customFormat="1" ht="15.95" customHeight="1" thickTop="1" thickBot="1">
      <c r="A18" s="52">
        <v>12</v>
      </c>
      <c r="B18" s="1538"/>
      <c r="C18" s="54"/>
      <c r="D18" s="1691"/>
      <c r="E18" s="1692"/>
      <c r="F18" s="1487"/>
      <c r="G18" s="55"/>
      <c r="H18" s="56">
        <f t="shared" si="2"/>
        <v>0</v>
      </c>
      <c r="I18" s="57"/>
      <c r="J18" s="58"/>
      <c r="L18" s="6"/>
      <c r="M18" s="52">
        <v>12</v>
      </c>
      <c r="N18" s="1393" t="str">
        <f t="shared" si="46"/>
        <v/>
      </c>
      <c r="O18" s="64" t="str">
        <f t="shared" si="3"/>
        <v/>
      </c>
      <c r="P18" s="1689"/>
      <c r="Q18" s="1690"/>
      <c r="R18" s="65" t="str">
        <f t="shared" si="4"/>
        <v/>
      </c>
      <c r="S18" s="62"/>
      <c r="T18" s="855" t="str">
        <f t="shared" si="5"/>
        <v/>
      </c>
      <c r="U18" s="66" t="str">
        <f t="shared" si="6"/>
        <v/>
      </c>
      <c r="X18" s="4">
        <f t="shared" si="7"/>
        <v>0</v>
      </c>
      <c r="Y18" s="4">
        <f t="shared" si="8"/>
        <v>0</v>
      </c>
      <c r="AA18" s="4">
        <f t="shared" si="9"/>
        <v>0</v>
      </c>
      <c r="AB18" s="4">
        <f t="shared" si="10"/>
        <v>0</v>
      </c>
      <c r="AD18" s="4">
        <f t="shared" si="11"/>
        <v>0</v>
      </c>
      <c r="AE18" s="4">
        <f t="shared" si="12"/>
        <v>0</v>
      </c>
      <c r="AF18" s="4">
        <f t="shared" si="13"/>
        <v>0</v>
      </c>
      <c r="AH18" s="4">
        <f t="shared" si="14"/>
        <v>0</v>
      </c>
      <c r="AI18" s="4">
        <f t="shared" si="15"/>
        <v>0</v>
      </c>
      <c r="AJ18" s="4">
        <f t="shared" si="16"/>
        <v>0</v>
      </c>
      <c r="AK18" s="4">
        <f t="shared" si="17"/>
        <v>0</v>
      </c>
      <c r="AL18" s="4">
        <f t="shared" si="18"/>
        <v>0</v>
      </c>
      <c r="AN18" s="4">
        <f t="shared" si="19"/>
        <v>0</v>
      </c>
      <c r="AO18" s="4">
        <f t="shared" si="20"/>
        <v>0</v>
      </c>
      <c r="AP18" s="4">
        <f t="shared" si="21"/>
        <v>0</v>
      </c>
      <c r="AQ18" s="4">
        <f t="shared" si="0"/>
        <v>0</v>
      </c>
      <c r="AR18" s="4">
        <f t="shared" si="1"/>
        <v>0</v>
      </c>
      <c r="AT18" s="4">
        <f t="shared" si="22"/>
        <v>0</v>
      </c>
      <c r="AU18" s="4">
        <f t="shared" si="23"/>
        <v>0</v>
      </c>
      <c r="AV18" s="4">
        <f t="shared" si="24"/>
        <v>0</v>
      </c>
      <c r="AW18" s="4">
        <f t="shared" si="25"/>
        <v>0</v>
      </c>
      <c r="AX18" s="4">
        <f t="shared" si="26"/>
        <v>0</v>
      </c>
      <c r="AY18" s="835"/>
      <c r="AZ18" s="835">
        <f t="shared" si="27"/>
        <v>0</v>
      </c>
      <c r="BA18" s="835">
        <f t="shared" si="28"/>
        <v>0</v>
      </c>
      <c r="BB18" s="835">
        <f t="shared" si="29"/>
        <v>0</v>
      </c>
      <c r="BC18" s="835">
        <f t="shared" si="30"/>
        <v>0</v>
      </c>
      <c r="BD18" s="39"/>
      <c r="BE18" s="1057">
        <f t="shared" si="31"/>
        <v>0</v>
      </c>
      <c r="BF18" s="1057">
        <f t="shared" si="32"/>
        <v>0</v>
      </c>
      <c r="BG18" s="1057">
        <f t="shared" si="33"/>
        <v>0</v>
      </c>
      <c r="BH18" s="1057">
        <f t="shared" si="34"/>
        <v>0</v>
      </c>
      <c r="BI18" s="1057">
        <f t="shared" si="35"/>
        <v>0</v>
      </c>
      <c r="BJ18" s="1057">
        <f t="shared" si="36"/>
        <v>0</v>
      </c>
      <c r="BK18" s="1057">
        <f t="shared" si="37"/>
        <v>0</v>
      </c>
      <c r="BL18" s="1057">
        <f t="shared" si="38"/>
        <v>0</v>
      </c>
      <c r="BM18" s="1057">
        <f t="shared" si="39"/>
        <v>0</v>
      </c>
      <c r="BN18" s="1057">
        <f t="shared" si="40"/>
        <v>0</v>
      </c>
      <c r="BO18" s="1057">
        <f t="shared" si="41"/>
        <v>0</v>
      </c>
      <c r="BP18" s="1057">
        <f t="shared" si="42"/>
        <v>0</v>
      </c>
      <c r="BQ18" s="1057">
        <f t="shared" si="43"/>
        <v>0</v>
      </c>
      <c r="BR18" s="1057">
        <f t="shared" si="44"/>
        <v>0</v>
      </c>
      <c r="BS18" s="1057">
        <f t="shared" si="45"/>
        <v>0</v>
      </c>
      <c r="BT18" s="1057"/>
      <c r="BU18" s="1057"/>
      <c r="BV18" s="1057"/>
      <c r="BW18" s="6"/>
    </row>
    <row r="19" spans="1:75" s="4" customFormat="1" ht="15.95" customHeight="1" thickTop="1" thickBot="1">
      <c r="A19" s="52">
        <v>13</v>
      </c>
      <c r="B19" s="1538"/>
      <c r="C19" s="54"/>
      <c r="D19" s="1691"/>
      <c r="E19" s="1692"/>
      <c r="F19" s="1487"/>
      <c r="G19" s="55"/>
      <c r="H19" s="56">
        <f t="shared" si="2"/>
        <v>0</v>
      </c>
      <c r="I19" s="57"/>
      <c r="J19" s="58"/>
      <c r="L19" s="6"/>
      <c r="M19" s="52">
        <v>13</v>
      </c>
      <c r="N19" s="856" t="str">
        <f t="shared" si="46"/>
        <v/>
      </c>
      <c r="O19" s="67" t="str">
        <f t="shared" si="3"/>
        <v/>
      </c>
      <c r="P19" s="1689"/>
      <c r="Q19" s="1690"/>
      <c r="R19" s="68" t="str">
        <f t="shared" si="4"/>
        <v/>
      </c>
      <c r="S19" s="62"/>
      <c r="T19" s="856" t="str">
        <f t="shared" si="5"/>
        <v/>
      </c>
      <c r="U19" s="69" t="str">
        <f t="shared" si="6"/>
        <v/>
      </c>
      <c r="X19" s="4">
        <f t="shared" si="7"/>
        <v>0</v>
      </c>
      <c r="Y19" s="4">
        <f t="shared" si="8"/>
        <v>0</v>
      </c>
      <c r="AA19" s="4">
        <f t="shared" si="9"/>
        <v>0</v>
      </c>
      <c r="AB19" s="4">
        <f t="shared" si="10"/>
        <v>0</v>
      </c>
      <c r="AD19" s="4">
        <f t="shared" si="11"/>
        <v>0</v>
      </c>
      <c r="AE19" s="4">
        <f t="shared" si="12"/>
        <v>0</v>
      </c>
      <c r="AF19" s="4">
        <f t="shared" si="13"/>
        <v>0</v>
      </c>
      <c r="AH19" s="4">
        <f t="shared" si="14"/>
        <v>0</v>
      </c>
      <c r="AI19" s="4">
        <f t="shared" si="15"/>
        <v>0</v>
      </c>
      <c r="AJ19" s="4">
        <f t="shared" si="16"/>
        <v>0</v>
      </c>
      <c r="AK19" s="4">
        <f t="shared" si="17"/>
        <v>0</v>
      </c>
      <c r="AL19" s="4">
        <f t="shared" si="18"/>
        <v>0</v>
      </c>
      <c r="AN19" s="4">
        <f t="shared" si="19"/>
        <v>0</v>
      </c>
      <c r="AO19" s="4">
        <f t="shared" si="20"/>
        <v>0</v>
      </c>
      <c r="AP19" s="4">
        <f t="shared" si="21"/>
        <v>0</v>
      </c>
      <c r="AQ19" s="4">
        <f t="shared" si="0"/>
        <v>0</v>
      </c>
      <c r="AR19" s="4">
        <f t="shared" si="1"/>
        <v>0</v>
      </c>
      <c r="AT19" s="4">
        <f t="shared" si="22"/>
        <v>0</v>
      </c>
      <c r="AU19" s="4">
        <f t="shared" si="23"/>
        <v>0</v>
      </c>
      <c r="AV19" s="4">
        <f t="shared" si="24"/>
        <v>0</v>
      </c>
      <c r="AW19" s="4">
        <f t="shared" si="25"/>
        <v>0</v>
      </c>
      <c r="AX19" s="4">
        <f t="shared" si="26"/>
        <v>0</v>
      </c>
      <c r="AY19" s="835"/>
      <c r="AZ19" s="835">
        <f t="shared" si="27"/>
        <v>0</v>
      </c>
      <c r="BA19" s="835">
        <f t="shared" si="28"/>
        <v>0</v>
      </c>
      <c r="BB19" s="835">
        <f t="shared" si="29"/>
        <v>0</v>
      </c>
      <c r="BC19" s="835">
        <f t="shared" si="30"/>
        <v>0</v>
      </c>
      <c r="BD19" s="39"/>
      <c r="BE19" s="1057">
        <f t="shared" si="31"/>
        <v>0</v>
      </c>
      <c r="BF19" s="1057">
        <f t="shared" si="32"/>
        <v>0</v>
      </c>
      <c r="BG19" s="1057">
        <f t="shared" si="33"/>
        <v>0</v>
      </c>
      <c r="BH19" s="1057">
        <f t="shared" si="34"/>
        <v>0</v>
      </c>
      <c r="BI19" s="1057">
        <f t="shared" si="35"/>
        <v>0</v>
      </c>
      <c r="BJ19" s="1057">
        <f t="shared" si="36"/>
        <v>0</v>
      </c>
      <c r="BK19" s="1057">
        <f t="shared" si="37"/>
        <v>0</v>
      </c>
      <c r="BL19" s="1057">
        <f t="shared" si="38"/>
        <v>0</v>
      </c>
      <c r="BM19" s="1057">
        <f t="shared" si="39"/>
        <v>0</v>
      </c>
      <c r="BN19" s="1057">
        <f t="shared" si="40"/>
        <v>0</v>
      </c>
      <c r="BO19" s="1057">
        <f t="shared" si="41"/>
        <v>0</v>
      </c>
      <c r="BP19" s="1057">
        <f t="shared" si="42"/>
        <v>0</v>
      </c>
      <c r="BQ19" s="1057">
        <f t="shared" si="43"/>
        <v>0</v>
      </c>
      <c r="BR19" s="1057">
        <f t="shared" si="44"/>
        <v>0</v>
      </c>
      <c r="BS19" s="1057">
        <f t="shared" si="45"/>
        <v>0</v>
      </c>
      <c r="BT19" s="1057"/>
      <c r="BU19" s="1057"/>
      <c r="BV19" s="1057"/>
      <c r="BW19" s="6"/>
    </row>
    <row r="20" spans="1:75" s="4" customFormat="1" ht="15.95" customHeight="1" thickTop="1" thickBot="1">
      <c r="A20" s="52">
        <v>14</v>
      </c>
      <c r="B20" s="1538"/>
      <c r="C20" s="54"/>
      <c r="D20" s="1691"/>
      <c r="E20" s="1692"/>
      <c r="F20" s="1487"/>
      <c r="G20" s="55"/>
      <c r="H20" s="56">
        <f t="shared" si="2"/>
        <v>0</v>
      </c>
      <c r="I20" s="57"/>
      <c r="J20" s="58"/>
      <c r="L20" s="6"/>
      <c r="M20" s="52">
        <v>14</v>
      </c>
      <c r="N20" s="856" t="str">
        <f t="shared" si="46"/>
        <v/>
      </c>
      <c r="O20" s="67" t="str">
        <f t="shared" si="3"/>
        <v/>
      </c>
      <c r="P20" s="1689"/>
      <c r="Q20" s="1690"/>
      <c r="R20" s="68" t="str">
        <f t="shared" si="4"/>
        <v/>
      </c>
      <c r="S20" s="62"/>
      <c r="T20" s="856" t="str">
        <f t="shared" si="5"/>
        <v/>
      </c>
      <c r="U20" s="69" t="str">
        <f t="shared" si="6"/>
        <v/>
      </c>
      <c r="X20" s="4">
        <f t="shared" si="7"/>
        <v>0</v>
      </c>
      <c r="Y20" s="4">
        <f t="shared" si="8"/>
        <v>0</v>
      </c>
      <c r="AA20" s="4">
        <f t="shared" si="9"/>
        <v>0</v>
      </c>
      <c r="AB20" s="4">
        <f t="shared" si="10"/>
        <v>0</v>
      </c>
      <c r="AD20" s="4">
        <f t="shared" si="11"/>
        <v>0</v>
      </c>
      <c r="AE20" s="4">
        <f t="shared" si="12"/>
        <v>0</v>
      </c>
      <c r="AF20" s="4">
        <f t="shared" si="13"/>
        <v>0</v>
      </c>
      <c r="AH20" s="4">
        <f t="shared" si="14"/>
        <v>0</v>
      </c>
      <c r="AI20" s="4">
        <f t="shared" si="15"/>
        <v>0</v>
      </c>
      <c r="AJ20" s="4">
        <f t="shared" si="16"/>
        <v>0</v>
      </c>
      <c r="AK20" s="4">
        <f t="shared" si="17"/>
        <v>0</v>
      </c>
      <c r="AL20" s="4">
        <f t="shared" si="18"/>
        <v>0</v>
      </c>
      <c r="AN20" s="4">
        <f t="shared" si="19"/>
        <v>0</v>
      </c>
      <c r="AO20" s="4">
        <f t="shared" si="20"/>
        <v>0</v>
      </c>
      <c r="AP20" s="4">
        <f t="shared" si="21"/>
        <v>0</v>
      </c>
      <c r="AQ20" s="4">
        <f t="shared" si="0"/>
        <v>0</v>
      </c>
      <c r="AR20" s="4">
        <f t="shared" si="1"/>
        <v>0</v>
      </c>
      <c r="AT20" s="4">
        <f t="shared" si="22"/>
        <v>0</v>
      </c>
      <c r="AU20" s="4">
        <f t="shared" si="23"/>
        <v>0</v>
      </c>
      <c r="AV20" s="4">
        <f t="shared" si="24"/>
        <v>0</v>
      </c>
      <c r="AW20" s="4">
        <f t="shared" si="25"/>
        <v>0</v>
      </c>
      <c r="AX20" s="4">
        <f t="shared" si="26"/>
        <v>0</v>
      </c>
      <c r="AY20" s="835"/>
      <c r="AZ20" s="835">
        <f t="shared" si="27"/>
        <v>0</v>
      </c>
      <c r="BA20" s="835">
        <f t="shared" si="28"/>
        <v>0</v>
      </c>
      <c r="BB20" s="835">
        <f t="shared" si="29"/>
        <v>0</v>
      </c>
      <c r="BC20" s="835">
        <f t="shared" si="30"/>
        <v>0</v>
      </c>
      <c r="BD20" s="39"/>
      <c r="BE20" s="1057">
        <f t="shared" si="31"/>
        <v>0</v>
      </c>
      <c r="BF20" s="1057">
        <f t="shared" si="32"/>
        <v>0</v>
      </c>
      <c r="BG20" s="1057">
        <f t="shared" si="33"/>
        <v>0</v>
      </c>
      <c r="BH20" s="1057">
        <f t="shared" si="34"/>
        <v>0</v>
      </c>
      <c r="BI20" s="1057">
        <f t="shared" si="35"/>
        <v>0</v>
      </c>
      <c r="BJ20" s="1057">
        <f t="shared" si="36"/>
        <v>0</v>
      </c>
      <c r="BK20" s="1057">
        <f t="shared" si="37"/>
        <v>0</v>
      </c>
      <c r="BL20" s="1057">
        <f t="shared" si="38"/>
        <v>0</v>
      </c>
      <c r="BM20" s="1057">
        <f t="shared" si="39"/>
        <v>0</v>
      </c>
      <c r="BN20" s="1057">
        <f t="shared" si="40"/>
        <v>0</v>
      </c>
      <c r="BO20" s="1057">
        <f t="shared" si="41"/>
        <v>0</v>
      </c>
      <c r="BP20" s="1057">
        <f t="shared" si="42"/>
        <v>0</v>
      </c>
      <c r="BQ20" s="1057">
        <f t="shared" si="43"/>
        <v>0</v>
      </c>
      <c r="BR20" s="1057">
        <f t="shared" si="44"/>
        <v>0</v>
      </c>
      <c r="BS20" s="1057">
        <f t="shared" si="45"/>
        <v>0</v>
      </c>
      <c r="BT20" s="1057"/>
      <c r="BU20" s="1057"/>
      <c r="BV20" s="1057"/>
      <c r="BW20" s="6"/>
    </row>
    <row r="21" spans="1:75" s="4" customFormat="1" ht="15.95" customHeight="1" thickTop="1" thickBot="1">
      <c r="A21" s="52">
        <v>15</v>
      </c>
      <c r="B21" s="1538"/>
      <c r="C21" s="54"/>
      <c r="D21" s="1691"/>
      <c r="E21" s="1692"/>
      <c r="F21" s="1487"/>
      <c r="G21" s="55"/>
      <c r="H21" s="56">
        <f t="shared" si="2"/>
        <v>0</v>
      </c>
      <c r="I21" s="57"/>
      <c r="J21" s="58"/>
      <c r="L21" s="6"/>
      <c r="M21" s="52">
        <v>15</v>
      </c>
      <c r="N21" s="856" t="str">
        <f t="shared" si="46"/>
        <v/>
      </c>
      <c r="O21" s="67" t="str">
        <f t="shared" si="3"/>
        <v/>
      </c>
      <c r="P21" s="1689"/>
      <c r="Q21" s="1690"/>
      <c r="R21" s="68" t="str">
        <f t="shared" si="4"/>
        <v/>
      </c>
      <c r="S21" s="62"/>
      <c r="T21" s="856" t="str">
        <f t="shared" si="5"/>
        <v/>
      </c>
      <c r="U21" s="69" t="str">
        <f t="shared" si="6"/>
        <v/>
      </c>
      <c r="X21" s="4">
        <f t="shared" si="7"/>
        <v>0</v>
      </c>
      <c r="Y21" s="4">
        <f t="shared" si="8"/>
        <v>0</v>
      </c>
      <c r="AA21" s="4">
        <f t="shared" si="9"/>
        <v>0</v>
      </c>
      <c r="AB21" s="4">
        <f t="shared" si="10"/>
        <v>0</v>
      </c>
      <c r="AD21" s="4">
        <f t="shared" si="11"/>
        <v>0</v>
      </c>
      <c r="AE21" s="4">
        <f t="shared" si="12"/>
        <v>0</v>
      </c>
      <c r="AF21" s="4">
        <f t="shared" si="13"/>
        <v>0</v>
      </c>
      <c r="AH21" s="4">
        <f t="shared" si="14"/>
        <v>0</v>
      </c>
      <c r="AI21" s="4">
        <f t="shared" si="15"/>
        <v>0</v>
      </c>
      <c r="AJ21" s="4">
        <f t="shared" si="16"/>
        <v>0</v>
      </c>
      <c r="AK21" s="4">
        <f t="shared" si="17"/>
        <v>0</v>
      </c>
      <c r="AL21" s="4">
        <f t="shared" si="18"/>
        <v>0</v>
      </c>
      <c r="AN21" s="4">
        <f t="shared" si="19"/>
        <v>0</v>
      </c>
      <c r="AO21" s="4">
        <f t="shared" si="20"/>
        <v>0</v>
      </c>
      <c r="AP21" s="4">
        <f t="shared" si="21"/>
        <v>0</v>
      </c>
      <c r="AQ21" s="4">
        <f t="shared" si="0"/>
        <v>0</v>
      </c>
      <c r="AR21" s="4">
        <f t="shared" si="1"/>
        <v>0</v>
      </c>
      <c r="AT21" s="4">
        <f t="shared" si="22"/>
        <v>0</v>
      </c>
      <c r="AU21" s="4">
        <f t="shared" si="23"/>
        <v>0</v>
      </c>
      <c r="AV21" s="4">
        <f t="shared" si="24"/>
        <v>0</v>
      </c>
      <c r="AW21" s="4">
        <f t="shared" si="25"/>
        <v>0</v>
      </c>
      <c r="AX21" s="4">
        <f t="shared" si="26"/>
        <v>0</v>
      </c>
      <c r="AY21" s="835"/>
      <c r="AZ21" s="835">
        <f t="shared" si="27"/>
        <v>0</v>
      </c>
      <c r="BA21" s="835">
        <f t="shared" si="28"/>
        <v>0</v>
      </c>
      <c r="BB21" s="835">
        <f t="shared" si="29"/>
        <v>0</v>
      </c>
      <c r="BC21" s="835">
        <f t="shared" si="30"/>
        <v>0</v>
      </c>
      <c r="BD21" s="39"/>
      <c r="BE21" s="1057">
        <f t="shared" si="31"/>
        <v>0</v>
      </c>
      <c r="BF21" s="1057">
        <f t="shared" si="32"/>
        <v>0</v>
      </c>
      <c r="BG21" s="1057">
        <f t="shared" si="33"/>
        <v>0</v>
      </c>
      <c r="BH21" s="1057">
        <f t="shared" si="34"/>
        <v>0</v>
      </c>
      <c r="BI21" s="1057">
        <f t="shared" si="35"/>
        <v>0</v>
      </c>
      <c r="BJ21" s="1057">
        <f t="shared" si="36"/>
        <v>0</v>
      </c>
      <c r="BK21" s="1057">
        <f t="shared" si="37"/>
        <v>0</v>
      </c>
      <c r="BL21" s="1057">
        <f t="shared" si="38"/>
        <v>0</v>
      </c>
      <c r="BM21" s="1057">
        <f t="shared" si="39"/>
        <v>0</v>
      </c>
      <c r="BN21" s="1057">
        <f t="shared" si="40"/>
        <v>0</v>
      </c>
      <c r="BO21" s="1057">
        <f t="shared" si="41"/>
        <v>0</v>
      </c>
      <c r="BP21" s="1057">
        <f t="shared" si="42"/>
        <v>0</v>
      </c>
      <c r="BQ21" s="1057">
        <f t="shared" si="43"/>
        <v>0</v>
      </c>
      <c r="BR21" s="1057">
        <f t="shared" si="44"/>
        <v>0</v>
      </c>
      <c r="BS21" s="1057">
        <f t="shared" si="45"/>
        <v>0</v>
      </c>
      <c r="BT21" s="1057"/>
      <c r="BU21" s="1057"/>
      <c r="BV21" s="1057"/>
      <c r="BW21" s="6"/>
    </row>
    <row r="22" spans="1:75" s="4" customFormat="1" ht="15.95" customHeight="1" thickTop="1" thickBot="1">
      <c r="A22" s="52">
        <v>16</v>
      </c>
      <c r="B22" s="1538"/>
      <c r="C22" s="54"/>
      <c r="D22" s="1691"/>
      <c r="E22" s="1692"/>
      <c r="F22" s="1487"/>
      <c r="G22" s="55"/>
      <c r="H22" s="56">
        <f t="shared" si="2"/>
        <v>0</v>
      </c>
      <c r="I22" s="57"/>
      <c r="J22" s="58"/>
      <c r="L22" s="6"/>
      <c r="M22" s="52">
        <v>16</v>
      </c>
      <c r="N22" s="856" t="str">
        <f t="shared" si="46"/>
        <v/>
      </c>
      <c r="O22" s="67" t="str">
        <f t="shared" si="3"/>
        <v/>
      </c>
      <c r="P22" s="1689"/>
      <c r="Q22" s="1690"/>
      <c r="R22" s="68" t="str">
        <f t="shared" si="4"/>
        <v/>
      </c>
      <c r="S22" s="62"/>
      <c r="T22" s="856" t="str">
        <f t="shared" si="5"/>
        <v/>
      </c>
      <c r="U22" s="69" t="str">
        <f t="shared" si="6"/>
        <v/>
      </c>
      <c r="X22" s="4">
        <f t="shared" si="7"/>
        <v>0</v>
      </c>
      <c r="Y22" s="4">
        <f t="shared" si="8"/>
        <v>0</v>
      </c>
      <c r="AA22" s="4">
        <f t="shared" si="9"/>
        <v>0</v>
      </c>
      <c r="AB22" s="4">
        <f t="shared" si="10"/>
        <v>0</v>
      </c>
      <c r="AD22" s="4">
        <f t="shared" si="11"/>
        <v>0</v>
      </c>
      <c r="AE22" s="4">
        <f t="shared" si="12"/>
        <v>0</v>
      </c>
      <c r="AF22" s="4">
        <f t="shared" si="13"/>
        <v>0</v>
      </c>
      <c r="AH22" s="4">
        <f t="shared" si="14"/>
        <v>0</v>
      </c>
      <c r="AI22" s="4">
        <f t="shared" si="15"/>
        <v>0</v>
      </c>
      <c r="AJ22" s="4">
        <f t="shared" si="16"/>
        <v>0</v>
      </c>
      <c r="AK22" s="4">
        <f t="shared" si="17"/>
        <v>0</v>
      </c>
      <c r="AL22" s="4">
        <f t="shared" si="18"/>
        <v>0</v>
      </c>
      <c r="AN22" s="4">
        <f t="shared" si="19"/>
        <v>0</v>
      </c>
      <c r="AO22" s="4">
        <f t="shared" si="20"/>
        <v>0</v>
      </c>
      <c r="AP22" s="4">
        <f t="shared" si="21"/>
        <v>0</v>
      </c>
      <c r="AQ22" s="4">
        <f t="shared" si="0"/>
        <v>0</v>
      </c>
      <c r="AR22" s="4">
        <f t="shared" si="1"/>
        <v>0</v>
      </c>
      <c r="AT22" s="4">
        <f t="shared" si="22"/>
        <v>0</v>
      </c>
      <c r="AU22" s="4">
        <f t="shared" si="23"/>
        <v>0</v>
      </c>
      <c r="AV22" s="4">
        <f t="shared" si="24"/>
        <v>0</v>
      </c>
      <c r="AW22" s="4">
        <f t="shared" si="25"/>
        <v>0</v>
      </c>
      <c r="AX22" s="4">
        <f t="shared" si="26"/>
        <v>0</v>
      </c>
      <c r="AY22" s="835"/>
      <c r="AZ22" s="835">
        <f t="shared" si="27"/>
        <v>0</v>
      </c>
      <c r="BA22" s="835">
        <f t="shared" si="28"/>
        <v>0</v>
      </c>
      <c r="BB22" s="835">
        <f t="shared" si="29"/>
        <v>0</v>
      </c>
      <c r="BC22" s="835">
        <f t="shared" si="30"/>
        <v>0</v>
      </c>
      <c r="BD22" s="39"/>
      <c r="BE22" s="1057">
        <f t="shared" si="31"/>
        <v>0</v>
      </c>
      <c r="BF22" s="1057">
        <f t="shared" si="32"/>
        <v>0</v>
      </c>
      <c r="BG22" s="1057">
        <f t="shared" si="33"/>
        <v>0</v>
      </c>
      <c r="BH22" s="1057">
        <f t="shared" si="34"/>
        <v>0</v>
      </c>
      <c r="BI22" s="1057">
        <f t="shared" si="35"/>
        <v>0</v>
      </c>
      <c r="BJ22" s="1057">
        <f t="shared" si="36"/>
        <v>0</v>
      </c>
      <c r="BK22" s="1057">
        <f t="shared" si="37"/>
        <v>0</v>
      </c>
      <c r="BL22" s="1057">
        <f t="shared" si="38"/>
        <v>0</v>
      </c>
      <c r="BM22" s="1057">
        <f t="shared" si="39"/>
        <v>0</v>
      </c>
      <c r="BN22" s="1057">
        <f t="shared" si="40"/>
        <v>0</v>
      </c>
      <c r="BO22" s="1057">
        <f t="shared" si="41"/>
        <v>0</v>
      </c>
      <c r="BP22" s="1057">
        <f t="shared" si="42"/>
        <v>0</v>
      </c>
      <c r="BQ22" s="1057">
        <f t="shared" si="43"/>
        <v>0</v>
      </c>
      <c r="BR22" s="1057">
        <f t="shared" si="44"/>
        <v>0</v>
      </c>
      <c r="BS22" s="1057">
        <f t="shared" si="45"/>
        <v>0</v>
      </c>
      <c r="BT22" s="1057"/>
      <c r="BU22" s="1057"/>
      <c r="BV22" s="1057"/>
      <c r="BW22" s="6"/>
    </row>
    <row r="23" spans="1:75" s="4" customFormat="1" ht="15.95" customHeight="1" thickTop="1" thickBot="1">
      <c r="A23" s="52">
        <v>17</v>
      </c>
      <c r="B23" s="1538"/>
      <c r="C23" s="54"/>
      <c r="D23" s="1691"/>
      <c r="E23" s="1692"/>
      <c r="F23" s="1487"/>
      <c r="G23" s="55"/>
      <c r="H23" s="56">
        <f t="shared" si="2"/>
        <v>0</v>
      </c>
      <c r="I23" s="57"/>
      <c r="J23" s="58"/>
      <c r="L23" s="6"/>
      <c r="M23" s="52">
        <v>17</v>
      </c>
      <c r="N23" s="856" t="str">
        <f t="shared" si="46"/>
        <v/>
      </c>
      <c r="O23" s="67" t="str">
        <f t="shared" si="3"/>
        <v/>
      </c>
      <c r="P23" s="1689"/>
      <c r="Q23" s="1690"/>
      <c r="R23" s="68" t="str">
        <f t="shared" si="4"/>
        <v/>
      </c>
      <c r="S23" s="62"/>
      <c r="T23" s="856" t="str">
        <f t="shared" si="5"/>
        <v/>
      </c>
      <c r="U23" s="69" t="str">
        <f t="shared" si="6"/>
        <v/>
      </c>
      <c r="X23" s="4">
        <f t="shared" si="7"/>
        <v>0</v>
      </c>
      <c r="Y23" s="4">
        <f t="shared" si="8"/>
        <v>0</v>
      </c>
      <c r="AA23" s="4">
        <f t="shared" si="9"/>
        <v>0</v>
      </c>
      <c r="AB23" s="4">
        <f t="shared" si="10"/>
        <v>0</v>
      </c>
      <c r="AD23" s="4">
        <f t="shared" si="11"/>
        <v>0</v>
      </c>
      <c r="AE23" s="4">
        <f t="shared" si="12"/>
        <v>0</v>
      </c>
      <c r="AF23" s="4">
        <f t="shared" si="13"/>
        <v>0</v>
      </c>
      <c r="AH23" s="4">
        <f t="shared" si="14"/>
        <v>0</v>
      </c>
      <c r="AI23" s="4">
        <f t="shared" si="15"/>
        <v>0</v>
      </c>
      <c r="AJ23" s="4">
        <f t="shared" si="16"/>
        <v>0</v>
      </c>
      <c r="AK23" s="4">
        <f t="shared" si="17"/>
        <v>0</v>
      </c>
      <c r="AL23" s="4">
        <f t="shared" si="18"/>
        <v>0</v>
      </c>
      <c r="AN23" s="4">
        <f t="shared" si="19"/>
        <v>0</v>
      </c>
      <c r="AO23" s="4">
        <f t="shared" si="20"/>
        <v>0</v>
      </c>
      <c r="AP23" s="4">
        <f t="shared" si="21"/>
        <v>0</v>
      </c>
      <c r="AQ23" s="4">
        <f t="shared" si="0"/>
        <v>0</v>
      </c>
      <c r="AR23" s="4">
        <f t="shared" si="1"/>
        <v>0</v>
      </c>
      <c r="AT23" s="4">
        <f t="shared" si="22"/>
        <v>0</v>
      </c>
      <c r="AU23" s="4">
        <f t="shared" si="23"/>
        <v>0</v>
      </c>
      <c r="AV23" s="4">
        <f t="shared" si="24"/>
        <v>0</v>
      </c>
      <c r="AW23" s="4">
        <f t="shared" si="25"/>
        <v>0</v>
      </c>
      <c r="AX23" s="4">
        <f t="shared" si="26"/>
        <v>0</v>
      </c>
      <c r="AY23" s="835"/>
      <c r="AZ23" s="835">
        <f t="shared" si="27"/>
        <v>0</v>
      </c>
      <c r="BA23" s="835">
        <f t="shared" si="28"/>
        <v>0</v>
      </c>
      <c r="BB23" s="835">
        <f t="shared" si="29"/>
        <v>0</v>
      </c>
      <c r="BC23" s="835">
        <f t="shared" si="30"/>
        <v>0</v>
      </c>
      <c r="BD23" s="39"/>
      <c r="BE23" s="1057">
        <f t="shared" si="31"/>
        <v>0</v>
      </c>
      <c r="BF23" s="1057">
        <f t="shared" si="32"/>
        <v>0</v>
      </c>
      <c r="BG23" s="1057">
        <f t="shared" si="33"/>
        <v>0</v>
      </c>
      <c r="BH23" s="1057">
        <f t="shared" si="34"/>
        <v>0</v>
      </c>
      <c r="BI23" s="1057">
        <f t="shared" si="35"/>
        <v>0</v>
      </c>
      <c r="BJ23" s="1057">
        <f t="shared" si="36"/>
        <v>0</v>
      </c>
      <c r="BK23" s="1057">
        <f t="shared" si="37"/>
        <v>0</v>
      </c>
      <c r="BL23" s="1057">
        <f t="shared" si="38"/>
        <v>0</v>
      </c>
      <c r="BM23" s="1057">
        <f t="shared" si="39"/>
        <v>0</v>
      </c>
      <c r="BN23" s="1057">
        <f t="shared" si="40"/>
        <v>0</v>
      </c>
      <c r="BO23" s="1057">
        <f t="shared" si="41"/>
        <v>0</v>
      </c>
      <c r="BP23" s="1057">
        <f t="shared" si="42"/>
        <v>0</v>
      </c>
      <c r="BQ23" s="1057">
        <f t="shared" si="43"/>
        <v>0</v>
      </c>
      <c r="BR23" s="1057">
        <f t="shared" si="44"/>
        <v>0</v>
      </c>
      <c r="BS23" s="1057">
        <f t="shared" si="45"/>
        <v>0</v>
      </c>
      <c r="BT23" s="1057"/>
      <c r="BU23" s="1057"/>
      <c r="BV23" s="1057"/>
      <c r="BW23" s="6"/>
    </row>
    <row r="24" spans="1:75" s="4" customFormat="1" ht="15.95" customHeight="1" thickTop="1" thickBot="1">
      <c r="A24" s="52">
        <v>18</v>
      </c>
      <c r="B24" s="1538"/>
      <c r="C24" s="54"/>
      <c r="D24" s="1691"/>
      <c r="E24" s="1692"/>
      <c r="F24" s="1487"/>
      <c r="G24" s="55"/>
      <c r="H24" s="56">
        <f t="shared" si="2"/>
        <v>0</v>
      </c>
      <c r="I24" s="57"/>
      <c r="J24" s="58"/>
      <c r="L24" s="6"/>
      <c r="M24" s="52">
        <v>18</v>
      </c>
      <c r="N24" s="856" t="str">
        <f t="shared" si="46"/>
        <v/>
      </c>
      <c r="O24" s="67" t="str">
        <f t="shared" si="3"/>
        <v/>
      </c>
      <c r="P24" s="1689"/>
      <c r="Q24" s="1690"/>
      <c r="R24" s="68" t="str">
        <f t="shared" si="4"/>
        <v/>
      </c>
      <c r="S24" s="62"/>
      <c r="T24" s="856" t="str">
        <f t="shared" si="5"/>
        <v/>
      </c>
      <c r="U24" s="69" t="str">
        <f t="shared" si="6"/>
        <v/>
      </c>
      <c r="X24" s="4">
        <f t="shared" si="7"/>
        <v>0</v>
      </c>
      <c r="Y24" s="4">
        <f t="shared" si="8"/>
        <v>0</v>
      </c>
      <c r="AA24" s="4">
        <f t="shared" si="9"/>
        <v>0</v>
      </c>
      <c r="AB24" s="4">
        <f t="shared" si="10"/>
        <v>0</v>
      </c>
      <c r="AD24" s="4">
        <f t="shared" si="11"/>
        <v>0</v>
      </c>
      <c r="AE24" s="4">
        <f t="shared" si="12"/>
        <v>0</v>
      </c>
      <c r="AF24" s="4">
        <f t="shared" si="13"/>
        <v>0</v>
      </c>
      <c r="AH24" s="4">
        <f t="shared" si="14"/>
        <v>0</v>
      </c>
      <c r="AI24" s="4">
        <f t="shared" si="15"/>
        <v>0</v>
      </c>
      <c r="AJ24" s="4">
        <f t="shared" si="16"/>
        <v>0</v>
      </c>
      <c r="AK24" s="4">
        <f t="shared" si="17"/>
        <v>0</v>
      </c>
      <c r="AL24" s="4">
        <f t="shared" si="18"/>
        <v>0</v>
      </c>
      <c r="AN24" s="4">
        <f t="shared" si="19"/>
        <v>0</v>
      </c>
      <c r="AO24" s="4">
        <f t="shared" si="20"/>
        <v>0</v>
      </c>
      <c r="AP24" s="4">
        <f t="shared" si="21"/>
        <v>0</v>
      </c>
      <c r="AQ24" s="4">
        <f t="shared" si="0"/>
        <v>0</v>
      </c>
      <c r="AR24" s="4">
        <f t="shared" si="1"/>
        <v>0</v>
      </c>
      <c r="AT24" s="4">
        <f t="shared" si="22"/>
        <v>0</v>
      </c>
      <c r="AU24" s="4">
        <f t="shared" si="23"/>
        <v>0</v>
      </c>
      <c r="AV24" s="4">
        <f t="shared" si="24"/>
        <v>0</v>
      </c>
      <c r="AW24" s="4">
        <f t="shared" si="25"/>
        <v>0</v>
      </c>
      <c r="AX24" s="4">
        <f t="shared" si="26"/>
        <v>0</v>
      </c>
      <c r="AY24" s="835"/>
      <c r="AZ24" s="835">
        <f t="shared" si="27"/>
        <v>0</v>
      </c>
      <c r="BA24" s="835">
        <f t="shared" si="28"/>
        <v>0</v>
      </c>
      <c r="BB24" s="835">
        <f t="shared" si="29"/>
        <v>0</v>
      </c>
      <c r="BC24" s="835">
        <f t="shared" si="30"/>
        <v>0</v>
      </c>
      <c r="BD24" s="39"/>
      <c r="BE24" s="1057">
        <f t="shared" si="31"/>
        <v>0</v>
      </c>
      <c r="BF24" s="1057">
        <f t="shared" si="32"/>
        <v>0</v>
      </c>
      <c r="BG24" s="1057">
        <f t="shared" si="33"/>
        <v>0</v>
      </c>
      <c r="BH24" s="1057">
        <f t="shared" si="34"/>
        <v>0</v>
      </c>
      <c r="BI24" s="1057">
        <f t="shared" si="35"/>
        <v>0</v>
      </c>
      <c r="BJ24" s="1057">
        <f t="shared" si="36"/>
        <v>0</v>
      </c>
      <c r="BK24" s="1057">
        <f t="shared" si="37"/>
        <v>0</v>
      </c>
      <c r="BL24" s="1057">
        <f t="shared" si="38"/>
        <v>0</v>
      </c>
      <c r="BM24" s="1057">
        <f t="shared" si="39"/>
        <v>0</v>
      </c>
      <c r="BN24" s="1057">
        <f t="shared" si="40"/>
        <v>0</v>
      </c>
      <c r="BO24" s="1057">
        <f t="shared" si="41"/>
        <v>0</v>
      </c>
      <c r="BP24" s="1057">
        <f t="shared" si="42"/>
        <v>0</v>
      </c>
      <c r="BQ24" s="1057">
        <f t="shared" si="43"/>
        <v>0</v>
      </c>
      <c r="BR24" s="1057">
        <f t="shared" si="44"/>
        <v>0</v>
      </c>
      <c r="BS24" s="1057">
        <f t="shared" si="45"/>
        <v>0</v>
      </c>
      <c r="BT24" s="1057"/>
      <c r="BU24" s="1057"/>
      <c r="BV24" s="1057"/>
      <c r="BW24" s="6"/>
    </row>
    <row r="25" spans="1:75" s="4" customFormat="1" ht="15.95" customHeight="1" thickTop="1" thickBot="1">
      <c r="A25" s="52">
        <v>19</v>
      </c>
      <c r="B25" s="1538"/>
      <c r="C25" s="54"/>
      <c r="D25" s="1691"/>
      <c r="E25" s="1692"/>
      <c r="F25" s="1487"/>
      <c r="G25" s="55"/>
      <c r="H25" s="62">
        <f>C25*G25</f>
        <v>0</v>
      </c>
      <c r="I25" s="57"/>
      <c r="J25" s="58"/>
      <c r="L25" s="6"/>
      <c r="M25" s="52">
        <v>19</v>
      </c>
      <c r="N25" s="856" t="str">
        <f t="shared" si="46"/>
        <v/>
      </c>
      <c r="O25" s="67" t="str">
        <f t="shared" si="3"/>
        <v/>
      </c>
      <c r="P25" s="1689"/>
      <c r="Q25" s="1690"/>
      <c r="R25" s="68" t="str">
        <f t="shared" si="4"/>
        <v/>
      </c>
      <c r="S25" s="62"/>
      <c r="T25" s="856" t="str">
        <f t="shared" si="5"/>
        <v/>
      </c>
      <c r="U25" s="69" t="str">
        <f t="shared" si="6"/>
        <v/>
      </c>
      <c r="X25" s="4">
        <f t="shared" si="7"/>
        <v>0</v>
      </c>
      <c r="Y25" s="4">
        <f t="shared" si="8"/>
        <v>0</v>
      </c>
      <c r="AA25" s="4">
        <f t="shared" si="9"/>
        <v>0</v>
      </c>
      <c r="AB25" s="4">
        <f t="shared" si="10"/>
        <v>0</v>
      </c>
      <c r="AD25" s="4">
        <f t="shared" si="11"/>
        <v>0</v>
      </c>
      <c r="AE25" s="4">
        <f t="shared" si="12"/>
        <v>0</v>
      </c>
      <c r="AF25" s="4">
        <f t="shared" si="13"/>
        <v>0</v>
      </c>
      <c r="AH25" s="4">
        <f t="shared" si="14"/>
        <v>0</v>
      </c>
      <c r="AI25" s="4">
        <f t="shared" si="15"/>
        <v>0</v>
      </c>
      <c r="AJ25" s="4">
        <f t="shared" si="16"/>
        <v>0</v>
      </c>
      <c r="AK25" s="4">
        <f t="shared" si="17"/>
        <v>0</v>
      </c>
      <c r="AL25" s="4">
        <f t="shared" si="18"/>
        <v>0</v>
      </c>
      <c r="AN25" s="4">
        <f t="shared" si="19"/>
        <v>0</v>
      </c>
      <c r="AO25" s="4">
        <f t="shared" si="20"/>
        <v>0</v>
      </c>
      <c r="AP25" s="4">
        <f t="shared" si="21"/>
        <v>0</v>
      </c>
      <c r="AQ25" s="4">
        <f t="shared" si="0"/>
        <v>0</v>
      </c>
      <c r="AR25" s="4">
        <f t="shared" si="1"/>
        <v>0</v>
      </c>
      <c r="AT25" s="4">
        <f t="shared" si="22"/>
        <v>0</v>
      </c>
      <c r="AU25" s="4">
        <f t="shared" si="23"/>
        <v>0</v>
      </c>
      <c r="AV25" s="4">
        <f t="shared" si="24"/>
        <v>0</v>
      </c>
      <c r="AW25" s="4">
        <f t="shared" si="25"/>
        <v>0</v>
      </c>
      <c r="AX25" s="4">
        <f t="shared" si="26"/>
        <v>0</v>
      </c>
      <c r="AY25" s="835"/>
      <c r="AZ25" s="835">
        <f t="shared" si="27"/>
        <v>0</v>
      </c>
      <c r="BA25" s="835">
        <f t="shared" si="28"/>
        <v>0</v>
      </c>
      <c r="BB25" s="835">
        <f t="shared" si="29"/>
        <v>0</v>
      </c>
      <c r="BC25" s="835">
        <f t="shared" si="30"/>
        <v>0</v>
      </c>
      <c r="BD25" s="39"/>
      <c r="BE25" s="1057">
        <f t="shared" si="31"/>
        <v>0</v>
      </c>
      <c r="BF25" s="1057">
        <f t="shared" si="32"/>
        <v>0</v>
      </c>
      <c r="BG25" s="1057">
        <f t="shared" si="33"/>
        <v>0</v>
      </c>
      <c r="BH25" s="1057">
        <f t="shared" si="34"/>
        <v>0</v>
      </c>
      <c r="BI25" s="1057">
        <f t="shared" si="35"/>
        <v>0</v>
      </c>
      <c r="BJ25" s="1057">
        <f t="shared" si="36"/>
        <v>0</v>
      </c>
      <c r="BK25" s="1057">
        <f t="shared" si="37"/>
        <v>0</v>
      </c>
      <c r="BL25" s="1057">
        <f t="shared" si="38"/>
        <v>0</v>
      </c>
      <c r="BM25" s="1057">
        <f t="shared" si="39"/>
        <v>0</v>
      </c>
      <c r="BN25" s="1057">
        <f t="shared" si="40"/>
        <v>0</v>
      </c>
      <c r="BO25" s="1057">
        <f t="shared" si="41"/>
        <v>0</v>
      </c>
      <c r="BP25" s="1057">
        <f t="shared" si="42"/>
        <v>0</v>
      </c>
      <c r="BQ25" s="1057">
        <f t="shared" si="43"/>
        <v>0</v>
      </c>
      <c r="BR25" s="1057">
        <f t="shared" si="44"/>
        <v>0</v>
      </c>
      <c r="BS25" s="1057">
        <f t="shared" si="45"/>
        <v>0</v>
      </c>
      <c r="BT25" s="1057"/>
      <c r="BU25" s="1057"/>
      <c r="BV25" s="1057"/>
      <c r="BW25" s="6"/>
    </row>
    <row r="26" spans="1:75" s="4" customFormat="1" ht="15.95" customHeight="1" thickTop="1" thickBot="1">
      <c r="A26" s="52">
        <v>20</v>
      </c>
      <c r="B26" s="1538"/>
      <c r="C26" s="54"/>
      <c r="D26" s="1691"/>
      <c r="E26" s="1692"/>
      <c r="F26" s="1487"/>
      <c r="G26" s="55"/>
      <c r="H26" s="62">
        <f>C26*G26</f>
        <v>0</v>
      </c>
      <c r="I26" s="57"/>
      <c r="J26" s="58"/>
      <c r="L26" s="6"/>
      <c r="M26" s="52">
        <v>20</v>
      </c>
      <c r="N26" s="856" t="str">
        <f t="shared" si="46"/>
        <v/>
      </c>
      <c r="O26" s="67" t="str">
        <f t="shared" si="3"/>
        <v/>
      </c>
      <c r="P26" s="1689"/>
      <c r="Q26" s="1690"/>
      <c r="R26" s="68" t="str">
        <f t="shared" si="4"/>
        <v/>
      </c>
      <c r="S26" s="62"/>
      <c r="T26" s="856" t="str">
        <f t="shared" si="5"/>
        <v/>
      </c>
      <c r="U26" s="69" t="str">
        <f t="shared" si="6"/>
        <v/>
      </c>
      <c r="X26" s="4">
        <f t="shared" si="7"/>
        <v>0</v>
      </c>
      <c r="Y26" s="4">
        <f t="shared" si="8"/>
        <v>0</v>
      </c>
      <c r="AA26" s="4">
        <f t="shared" si="9"/>
        <v>0</v>
      </c>
      <c r="AB26" s="4">
        <f t="shared" si="10"/>
        <v>0</v>
      </c>
      <c r="AD26" s="4">
        <f t="shared" si="11"/>
        <v>0</v>
      </c>
      <c r="AE26" s="4">
        <f t="shared" si="12"/>
        <v>0</v>
      </c>
      <c r="AF26" s="4">
        <f t="shared" si="13"/>
        <v>0</v>
      </c>
      <c r="AH26" s="4">
        <f t="shared" si="14"/>
        <v>0</v>
      </c>
      <c r="AI26" s="4">
        <f t="shared" si="15"/>
        <v>0</v>
      </c>
      <c r="AJ26" s="4">
        <f t="shared" si="16"/>
        <v>0</v>
      </c>
      <c r="AK26" s="4">
        <f t="shared" si="17"/>
        <v>0</v>
      </c>
      <c r="AL26" s="4">
        <f t="shared" si="18"/>
        <v>0</v>
      </c>
      <c r="AN26" s="4">
        <f t="shared" si="19"/>
        <v>0</v>
      </c>
      <c r="AO26" s="4">
        <f t="shared" si="20"/>
        <v>0</v>
      </c>
      <c r="AP26" s="4">
        <f t="shared" si="21"/>
        <v>0</v>
      </c>
      <c r="AQ26" s="4">
        <f t="shared" si="0"/>
        <v>0</v>
      </c>
      <c r="AR26" s="4">
        <f t="shared" si="1"/>
        <v>0</v>
      </c>
      <c r="AT26" s="4">
        <f t="shared" si="22"/>
        <v>0</v>
      </c>
      <c r="AU26" s="4">
        <f t="shared" si="23"/>
        <v>0</v>
      </c>
      <c r="AV26" s="4">
        <f t="shared" si="24"/>
        <v>0</v>
      </c>
      <c r="AW26" s="4">
        <f t="shared" si="25"/>
        <v>0</v>
      </c>
      <c r="AX26" s="4">
        <f t="shared" si="26"/>
        <v>0</v>
      </c>
      <c r="AY26" s="835"/>
      <c r="AZ26" s="835">
        <f t="shared" si="27"/>
        <v>0</v>
      </c>
      <c r="BA26" s="835">
        <f t="shared" si="28"/>
        <v>0</v>
      </c>
      <c r="BB26" s="835">
        <f t="shared" si="29"/>
        <v>0</v>
      </c>
      <c r="BC26" s="835">
        <f t="shared" si="30"/>
        <v>0</v>
      </c>
      <c r="BD26" s="39"/>
      <c r="BE26" s="1057">
        <f t="shared" si="31"/>
        <v>0</v>
      </c>
      <c r="BF26" s="1057">
        <f t="shared" si="32"/>
        <v>0</v>
      </c>
      <c r="BG26" s="1057">
        <f t="shared" si="33"/>
        <v>0</v>
      </c>
      <c r="BH26" s="1057">
        <f t="shared" si="34"/>
        <v>0</v>
      </c>
      <c r="BI26" s="1057">
        <f t="shared" si="35"/>
        <v>0</v>
      </c>
      <c r="BJ26" s="1057">
        <f t="shared" si="36"/>
        <v>0</v>
      </c>
      <c r="BK26" s="1057">
        <f t="shared" si="37"/>
        <v>0</v>
      </c>
      <c r="BL26" s="1057">
        <f t="shared" si="38"/>
        <v>0</v>
      </c>
      <c r="BM26" s="1057">
        <f t="shared" si="39"/>
        <v>0</v>
      </c>
      <c r="BN26" s="1057">
        <f t="shared" si="40"/>
        <v>0</v>
      </c>
      <c r="BO26" s="1057">
        <f t="shared" si="41"/>
        <v>0</v>
      </c>
      <c r="BP26" s="1057">
        <f t="shared" si="42"/>
        <v>0</v>
      </c>
      <c r="BQ26" s="1057">
        <f t="shared" si="43"/>
        <v>0</v>
      </c>
      <c r="BR26" s="1057">
        <f t="shared" si="44"/>
        <v>0</v>
      </c>
      <c r="BS26" s="1057">
        <f t="shared" si="45"/>
        <v>0</v>
      </c>
      <c r="BT26" s="1057"/>
      <c r="BU26" s="1057"/>
      <c r="BV26" s="1057"/>
      <c r="BW26" s="6"/>
    </row>
    <row r="27" spans="1:75" s="4" customFormat="1" ht="15.95" customHeight="1" thickTop="1" thickBot="1">
      <c r="A27" s="52">
        <v>21</v>
      </c>
      <c r="B27" s="1538"/>
      <c r="C27" s="54"/>
      <c r="D27" s="1691"/>
      <c r="E27" s="1692"/>
      <c r="F27" s="1487"/>
      <c r="G27" s="55"/>
      <c r="H27" s="62">
        <f t="shared" ref="H27:H41" si="47">C27*G27</f>
        <v>0</v>
      </c>
      <c r="I27" s="57"/>
      <c r="J27" s="58"/>
      <c r="L27" s="6"/>
      <c r="M27" s="52">
        <v>21</v>
      </c>
      <c r="N27" s="857" t="str">
        <f t="shared" si="46"/>
        <v/>
      </c>
      <c r="O27" s="71" t="str">
        <f t="shared" si="3"/>
        <v/>
      </c>
      <c r="P27" s="1689"/>
      <c r="Q27" s="1690"/>
      <c r="R27" s="72" t="str">
        <f t="shared" si="4"/>
        <v/>
      </c>
      <c r="S27" s="62"/>
      <c r="T27" s="857" t="str">
        <f t="shared" si="5"/>
        <v/>
      </c>
      <c r="U27" s="63" t="str">
        <f t="shared" si="6"/>
        <v/>
      </c>
      <c r="X27" s="4">
        <f t="shared" si="7"/>
        <v>0</v>
      </c>
      <c r="Y27" s="4">
        <f t="shared" si="8"/>
        <v>0</v>
      </c>
      <c r="AA27" s="4">
        <f t="shared" si="9"/>
        <v>0</v>
      </c>
      <c r="AB27" s="4">
        <f t="shared" si="10"/>
        <v>0</v>
      </c>
      <c r="AD27" s="4">
        <f t="shared" si="11"/>
        <v>0</v>
      </c>
      <c r="AE27" s="4">
        <f t="shared" si="12"/>
        <v>0</v>
      </c>
      <c r="AF27" s="4">
        <f t="shared" si="13"/>
        <v>0</v>
      </c>
      <c r="AH27" s="4">
        <f t="shared" si="14"/>
        <v>0</v>
      </c>
      <c r="AI27" s="4">
        <f t="shared" si="15"/>
        <v>0</v>
      </c>
      <c r="AJ27" s="4">
        <f t="shared" si="16"/>
        <v>0</v>
      </c>
      <c r="AK27" s="4">
        <f t="shared" si="17"/>
        <v>0</v>
      </c>
      <c r="AL27" s="4">
        <f t="shared" si="18"/>
        <v>0</v>
      </c>
      <c r="AN27" s="4">
        <f t="shared" si="19"/>
        <v>0</v>
      </c>
      <c r="AO27" s="4">
        <f t="shared" si="20"/>
        <v>0</v>
      </c>
      <c r="AP27" s="4">
        <f t="shared" si="21"/>
        <v>0</v>
      </c>
      <c r="AQ27" s="4">
        <f t="shared" si="0"/>
        <v>0</v>
      </c>
      <c r="AR27" s="4">
        <f t="shared" si="1"/>
        <v>0</v>
      </c>
      <c r="AT27" s="4">
        <f t="shared" si="22"/>
        <v>0</v>
      </c>
      <c r="AU27" s="4">
        <f t="shared" si="23"/>
        <v>0</v>
      </c>
      <c r="AV27" s="4">
        <f t="shared" si="24"/>
        <v>0</v>
      </c>
      <c r="AW27" s="4">
        <f t="shared" si="25"/>
        <v>0</v>
      </c>
      <c r="AX27" s="4">
        <f t="shared" si="26"/>
        <v>0</v>
      </c>
      <c r="AY27" s="835"/>
      <c r="AZ27" s="835">
        <f t="shared" si="27"/>
        <v>0</v>
      </c>
      <c r="BA27" s="835">
        <f t="shared" si="28"/>
        <v>0</v>
      </c>
      <c r="BB27" s="835">
        <f t="shared" si="29"/>
        <v>0</v>
      </c>
      <c r="BC27" s="835">
        <f t="shared" si="30"/>
        <v>0</v>
      </c>
      <c r="BD27" s="39"/>
      <c r="BE27" s="1057">
        <f t="shared" si="31"/>
        <v>0</v>
      </c>
      <c r="BF27" s="1057">
        <f t="shared" si="32"/>
        <v>0</v>
      </c>
      <c r="BG27" s="1057">
        <f t="shared" si="33"/>
        <v>0</v>
      </c>
      <c r="BH27" s="1057">
        <f t="shared" si="34"/>
        <v>0</v>
      </c>
      <c r="BI27" s="1057">
        <f t="shared" si="35"/>
        <v>0</v>
      </c>
      <c r="BJ27" s="1057">
        <f t="shared" si="36"/>
        <v>0</v>
      </c>
      <c r="BK27" s="1057">
        <f t="shared" si="37"/>
        <v>0</v>
      </c>
      <c r="BL27" s="1057">
        <f t="shared" si="38"/>
        <v>0</v>
      </c>
      <c r="BM27" s="1057">
        <f t="shared" si="39"/>
        <v>0</v>
      </c>
      <c r="BN27" s="1057">
        <f t="shared" si="40"/>
        <v>0</v>
      </c>
      <c r="BO27" s="1057">
        <f t="shared" si="41"/>
        <v>0</v>
      </c>
      <c r="BP27" s="1057">
        <f t="shared" si="42"/>
        <v>0</v>
      </c>
      <c r="BQ27" s="1057">
        <f t="shared" si="43"/>
        <v>0</v>
      </c>
      <c r="BR27" s="1057">
        <f t="shared" si="44"/>
        <v>0</v>
      </c>
      <c r="BS27" s="1057">
        <f t="shared" si="45"/>
        <v>0</v>
      </c>
      <c r="BT27" s="1057"/>
      <c r="BU27" s="1057"/>
      <c r="BV27" s="1057"/>
      <c r="BW27" s="6"/>
    </row>
    <row r="28" spans="1:75" s="4" customFormat="1" ht="15.95" customHeight="1" thickTop="1" thickBot="1">
      <c r="A28" s="52">
        <v>22</v>
      </c>
      <c r="B28" s="1538"/>
      <c r="C28" s="54"/>
      <c r="D28" s="1691"/>
      <c r="E28" s="1692"/>
      <c r="F28" s="1487"/>
      <c r="G28" s="55"/>
      <c r="H28" s="62">
        <f t="shared" si="47"/>
        <v>0</v>
      </c>
      <c r="I28" s="57"/>
      <c r="J28" s="58"/>
      <c r="L28" s="6"/>
      <c r="M28" s="52">
        <v>22</v>
      </c>
      <c r="N28" s="857" t="str">
        <f t="shared" si="46"/>
        <v/>
      </c>
      <c r="O28" s="71" t="str">
        <f t="shared" si="3"/>
        <v/>
      </c>
      <c r="P28" s="1689"/>
      <c r="Q28" s="1690"/>
      <c r="R28" s="72" t="str">
        <f t="shared" si="4"/>
        <v/>
      </c>
      <c r="S28" s="62"/>
      <c r="T28" s="857" t="str">
        <f t="shared" si="5"/>
        <v/>
      </c>
      <c r="U28" s="63" t="str">
        <f t="shared" si="6"/>
        <v/>
      </c>
      <c r="X28" s="4">
        <f t="shared" si="7"/>
        <v>0</v>
      </c>
      <c r="Y28" s="4">
        <f t="shared" si="8"/>
        <v>0</v>
      </c>
      <c r="AA28" s="4">
        <f t="shared" si="9"/>
        <v>0</v>
      </c>
      <c r="AB28" s="4">
        <f t="shared" si="10"/>
        <v>0</v>
      </c>
      <c r="AD28" s="4">
        <f t="shared" si="11"/>
        <v>0</v>
      </c>
      <c r="AE28" s="4">
        <f t="shared" si="12"/>
        <v>0</v>
      </c>
      <c r="AF28" s="4">
        <f t="shared" si="13"/>
        <v>0</v>
      </c>
      <c r="AH28" s="4">
        <f t="shared" si="14"/>
        <v>0</v>
      </c>
      <c r="AI28" s="4">
        <f t="shared" si="15"/>
        <v>0</v>
      </c>
      <c r="AJ28" s="4">
        <f t="shared" si="16"/>
        <v>0</v>
      </c>
      <c r="AK28" s="4">
        <f t="shared" si="17"/>
        <v>0</v>
      </c>
      <c r="AL28" s="4">
        <f t="shared" si="18"/>
        <v>0</v>
      </c>
      <c r="AN28" s="4">
        <f t="shared" si="19"/>
        <v>0</v>
      </c>
      <c r="AO28" s="4">
        <f t="shared" si="20"/>
        <v>0</v>
      </c>
      <c r="AP28" s="4">
        <f t="shared" si="21"/>
        <v>0</v>
      </c>
      <c r="AQ28" s="4">
        <f t="shared" si="0"/>
        <v>0</v>
      </c>
      <c r="AR28" s="4">
        <f t="shared" si="1"/>
        <v>0</v>
      </c>
      <c r="AT28" s="4">
        <f t="shared" si="22"/>
        <v>0</v>
      </c>
      <c r="AU28" s="4">
        <f t="shared" si="23"/>
        <v>0</v>
      </c>
      <c r="AV28" s="4">
        <f t="shared" si="24"/>
        <v>0</v>
      </c>
      <c r="AW28" s="4">
        <f t="shared" si="25"/>
        <v>0</v>
      </c>
      <c r="AX28" s="4">
        <f t="shared" si="26"/>
        <v>0</v>
      </c>
      <c r="AY28" s="835"/>
      <c r="AZ28" s="835">
        <f t="shared" si="27"/>
        <v>0</v>
      </c>
      <c r="BA28" s="835">
        <f t="shared" si="28"/>
        <v>0</v>
      </c>
      <c r="BB28" s="835">
        <f t="shared" si="29"/>
        <v>0</v>
      </c>
      <c r="BC28" s="835">
        <f t="shared" si="30"/>
        <v>0</v>
      </c>
      <c r="BD28" s="39"/>
      <c r="BE28" s="1057">
        <f t="shared" si="31"/>
        <v>0</v>
      </c>
      <c r="BF28" s="1057">
        <f t="shared" si="32"/>
        <v>0</v>
      </c>
      <c r="BG28" s="1057">
        <f t="shared" si="33"/>
        <v>0</v>
      </c>
      <c r="BH28" s="1057">
        <f t="shared" si="34"/>
        <v>0</v>
      </c>
      <c r="BI28" s="1057">
        <f t="shared" si="35"/>
        <v>0</v>
      </c>
      <c r="BJ28" s="1057">
        <f t="shared" si="36"/>
        <v>0</v>
      </c>
      <c r="BK28" s="1057">
        <f t="shared" si="37"/>
        <v>0</v>
      </c>
      <c r="BL28" s="1057">
        <f t="shared" si="38"/>
        <v>0</v>
      </c>
      <c r="BM28" s="1057">
        <f t="shared" si="39"/>
        <v>0</v>
      </c>
      <c r="BN28" s="1057">
        <f t="shared" si="40"/>
        <v>0</v>
      </c>
      <c r="BO28" s="1057">
        <f t="shared" si="41"/>
        <v>0</v>
      </c>
      <c r="BP28" s="1057">
        <f t="shared" si="42"/>
        <v>0</v>
      </c>
      <c r="BQ28" s="1057">
        <f t="shared" si="43"/>
        <v>0</v>
      </c>
      <c r="BR28" s="1057">
        <f t="shared" si="44"/>
        <v>0</v>
      </c>
      <c r="BS28" s="1057">
        <f t="shared" si="45"/>
        <v>0</v>
      </c>
      <c r="BT28" s="1057"/>
      <c r="BU28" s="1057"/>
      <c r="BV28" s="1057"/>
      <c r="BW28" s="6"/>
    </row>
    <row r="29" spans="1:75" s="4" customFormat="1" ht="15.95" customHeight="1" thickTop="1" thickBot="1">
      <c r="A29" s="52">
        <v>23</v>
      </c>
      <c r="B29" s="1538"/>
      <c r="C29" s="54"/>
      <c r="D29" s="1691"/>
      <c r="E29" s="1692"/>
      <c r="F29" s="1487"/>
      <c r="G29" s="55"/>
      <c r="H29" s="62">
        <f t="shared" si="47"/>
        <v>0</v>
      </c>
      <c r="I29" s="57"/>
      <c r="J29" s="58"/>
      <c r="L29" s="6"/>
      <c r="M29" s="52">
        <v>23</v>
      </c>
      <c r="N29" s="857" t="str">
        <f t="shared" si="46"/>
        <v/>
      </c>
      <c r="O29" s="71" t="str">
        <f t="shared" si="3"/>
        <v/>
      </c>
      <c r="P29" s="1689"/>
      <c r="Q29" s="1690"/>
      <c r="R29" s="72" t="str">
        <f t="shared" si="4"/>
        <v/>
      </c>
      <c r="S29" s="62"/>
      <c r="T29" s="857" t="str">
        <f t="shared" si="5"/>
        <v/>
      </c>
      <c r="U29" s="63" t="str">
        <f t="shared" si="6"/>
        <v/>
      </c>
      <c r="X29" s="4">
        <f t="shared" si="7"/>
        <v>0</v>
      </c>
      <c r="Y29" s="4">
        <f t="shared" si="8"/>
        <v>0</v>
      </c>
      <c r="AA29" s="4">
        <f t="shared" si="9"/>
        <v>0</v>
      </c>
      <c r="AB29" s="4">
        <f t="shared" si="10"/>
        <v>0</v>
      </c>
      <c r="AD29" s="4">
        <f t="shared" si="11"/>
        <v>0</v>
      </c>
      <c r="AE29" s="4">
        <f t="shared" si="12"/>
        <v>0</v>
      </c>
      <c r="AF29" s="4">
        <f t="shared" si="13"/>
        <v>0</v>
      </c>
      <c r="AH29" s="4">
        <f t="shared" si="14"/>
        <v>0</v>
      </c>
      <c r="AI29" s="4">
        <f t="shared" si="15"/>
        <v>0</v>
      </c>
      <c r="AJ29" s="4">
        <f t="shared" si="16"/>
        <v>0</v>
      </c>
      <c r="AK29" s="4">
        <f t="shared" si="17"/>
        <v>0</v>
      </c>
      <c r="AL29" s="4">
        <f t="shared" si="18"/>
        <v>0</v>
      </c>
      <c r="AN29" s="4">
        <f t="shared" si="19"/>
        <v>0</v>
      </c>
      <c r="AO29" s="4">
        <f t="shared" si="20"/>
        <v>0</v>
      </c>
      <c r="AP29" s="4">
        <f t="shared" si="21"/>
        <v>0</v>
      </c>
      <c r="AQ29" s="4">
        <f t="shared" si="0"/>
        <v>0</v>
      </c>
      <c r="AR29" s="4">
        <f t="shared" si="1"/>
        <v>0</v>
      </c>
      <c r="AT29" s="4">
        <f t="shared" si="22"/>
        <v>0</v>
      </c>
      <c r="AU29" s="4">
        <f t="shared" si="23"/>
        <v>0</v>
      </c>
      <c r="AV29" s="4">
        <f t="shared" si="24"/>
        <v>0</v>
      </c>
      <c r="AW29" s="4">
        <f t="shared" si="25"/>
        <v>0</v>
      </c>
      <c r="AX29" s="4">
        <f t="shared" si="26"/>
        <v>0</v>
      </c>
      <c r="AY29" s="835"/>
      <c r="AZ29" s="835">
        <f t="shared" si="27"/>
        <v>0</v>
      </c>
      <c r="BA29" s="835">
        <f t="shared" si="28"/>
        <v>0</v>
      </c>
      <c r="BB29" s="835">
        <f t="shared" si="29"/>
        <v>0</v>
      </c>
      <c r="BC29" s="835">
        <f t="shared" si="30"/>
        <v>0</v>
      </c>
      <c r="BD29" s="39"/>
      <c r="BE29" s="1057">
        <f t="shared" si="31"/>
        <v>0</v>
      </c>
      <c r="BF29" s="1057">
        <f t="shared" si="32"/>
        <v>0</v>
      </c>
      <c r="BG29" s="1057">
        <f t="shared" si="33"/>
        <v>0</v>
      </c>
      <c r="BH29" s="1057">
        <f t="shared" si="34"/>
        <v>0</v>
      </c>
      <c r="BI29" s="1057">
        <f t="shared" si="35"/>
        <v>0</v>
      </c>
      <c r="BJ29" s="1057">
        <f t="shared" si="36"/>
        <v>0</v>
      </c>
      <c r="BK29" s="1057">
        <f t="shared" si="37"/>
        <v>0</v>
      </c>
      <c r="BL29" s="1057">
        <f t="shared" si="38"/>
        <v>0</v>
      </c>
      <c r="BM29" s="1057">
        <f t="shared" si="39"/>
        <v>0</v>
      </c>
      <c r="BN29" s="1057">
        <f t="shared" si="40"/>
        <v>0</v>
      </c>
      <c r="BO29" s="1057">
        <f t="shared" si="41"/>
        <v>0</v>
      </c>
      <c r="BP29" s="1057">
        <f t="shared" si="42"/>
        <v>0</v>
      </c>
      <c r="BQ29" s="1057">
        <f t="shared" si="43"/>
        <v>0</v>
      </c>
      <c r="BR29" s="1057">
        <f t="shared" si="44"/>
        <v>0</v>
      </c>
      <c r="BS29" s="1057">
        <f t="shared" si="45"/>
        <v>0</v>
      </c>
      <c r="BT29" s="1057"/>
      <c r="BU29" s="1057"/>
      <c r="BV29" s="1057"/>
      <c r="BW29" s="6"/>
    </row>
    <row r="30" spans="1:75" s="4" customFormat="1" ht="15.95" customHeight="1" thickTop="1" thickBot="1">
      <c r="A30" s="52">
        <v>24</v>
      </c>
      <c r="B30" s="1538"/>
      <c r="C30" s="54"/>
      <c r="D30" s="1691"/>
      <c r="E30" s="1692"/>
      <c r="F30" s="1487"/>
      <c r="G30" s="55"/>
      <c r="H30" s="62">
        <f t="shared" si="47"/>
        <v>0</v>
      </c>
      <c r="I30" s="57"/>
      <c r="J30" s="58"/>
      <c r="L30" s="6"/>
      <c r="M30" s="52">
        <v>24</v>
      </c>
      <c r="N30" s="857" t="str">
        <f t="shared" si="46"/>
        <v/>
      </c>
      <c r="O30" s="71" t="str">
        <f t="shared" si="3"/>
        <v/>
      </c>
      <c r="P30" s="1689"/>
      <c r="Q30" s="1690"/>
      <c r="R30" s="72" t="str">
        <f t="shared" si="4"/>
        <v/>
      </c>
      <c r="S30" s="62"/>
      <c r="T30" s="857" t="str">
        <f t="shared" si="5"/>
        <v/>
      </c>
      <c r="U30" s="63" t="str">
        <f t="shared" si="6"/>
        <v/>
      </c>
      <c r="X30" s="4">
        <f t="shared" si="7"/>
        <v>0</v>
      </c>
      <c r="Y30" s="4">
        <f t="shared" si="8"/>
        <v>0</v>
      </c>
      <c r="AA30" s="4">
        <f t="shared" si="9"/>
        <v>0</v>
      </c>
      <c r="AB30" s="4">
        <f t="shared" si="10"/>
        <v>0</v>
      </c>
      <c r="AD30" s="4">
        <f t="shared" si="11"/>
        <v>0</v>
      </c>
      <c r="AE30" s="4">
        <f t="shared" si="12"/>
        <v>0</v>
      </c>
      <c r="AF30" s="4">
        <f t="shared" si="13"/>
        <v>0</v>
      </c>
      <c r="AH30" s="4">
        <f t="shared" si="14"/>
        <v>0</v>
      </c>
      <c r="AI30" s="4">
        <f t="shared" si="15"/>
        <v>0</v>
      </c>
      <c r="AJ30" s="4">
        <f t="shared" si="16"/>
        <v>0</v>
      </c>
      <c r="AK30" s="4">
        <f t="shared" si="17"/>
        <v>0</v>
      </c>
      <c r="AL30" s="4">
        <f t="shared" si="18"/>
        <v>0</v>
      </c>
      <c r="AN30" s="4">
        <f t="shared" si="19"/>
        <v>0</v>
      </c>
      <c r="AO30" s="4">
        <f t="shared" si="20"/>
        <v>0</v>
      </c>
      <c r="AP30" s="4">
        <f t="shared" si="21"/>
        <v>0</v>
      </c>
      <c r="AQ30" s="4">
        <f t="shared" si="0"/>
        <v>0</v>
      </c>
      <c r="AR30" s="4">
        <f t="shared" si="1"/>
        <v>0</v>
      </c>
      <c r="AT30" s="4">
        <f t="shared" si="22"/>
        <v>0</v>
      </c>
      <c r="AU30" s="4">
        <f t="shared" si="23"/>
        <v>0</v>
      </c>
      <c r="AV30" s="4">
        <f t="shared" si="24"/>
        <v>0</v>
      </c>
      <c r="AW30" s="4">
        <f t="shared" si="25"/>
        <v>0</v>
      </c>
      <c r="AX30" s="4">
        <f t="shared" si="26"/>
        <v>0</v>
      </c>
      <c r="AY30" s="835"/>
      <c r="AZ30" s="835">
        <f t="shared" si="27"/>
        <v>0</v>
      </c>
      <c r="BA30" s="835">
        <f t="shared" si="28"/>
        <v>0</v>
      </c>
      <c r="BB30" s="835">
        <f t="shared" si="29"/>
        <v>0</v>
      </c>
      <c r="BC30" s="835">
        <f t="shared" si="30"/>
        <v>0</v>
      </c>
      <c r="BD30" s="39"/>
      <c r="BE30" s="1057">
        <f t="shared" si="31"/>
        <v>0</v>
      </c>
      <c r="BF30" s="1057">
        <f t="shared" si="32"/>
        <v>0</v>
      </c>
      <c r="BG30" s="1057">
        <f t="shared" si="33"/>
        <v>0</v>
      </c>
      <c r="BH30" s="1057">
        <f t="shared" si="34"/>
        <v>0</v>
      </c>
      <c r="BI30" s="1057">
        <f t="shared" si="35"/>
        <v>0</v>
      </c>
      <c r="BJ30" s="1057">
        <f t="shared" si="36"/>
        <v>0</v>
      </c>
      <c r="BK30" s="1057">
        <f t="shared" si="37"/>
        <v>0</v>
      </c>
      <c r="BL30" s="1057">
        <f t="shared" si="38"/>
        <v>0</v>
      </c>
      <c r="BM30" s="1057">
        <f t="shared" si="39"/>
        <v>0</v>
      </c>
      <c r="BN30" s="1057">
        <f t="shared" si="40"/>
        <v>0</v>
      </c>
      <c r="BO30" s="1057">
        <f t="shared" si="41"/>
        <v>0</v>
      </c>
      <c r="BP30" s="1057">
        <f t="shared" si="42"/>
        <v>0</v>
      </c>
      <c r="BQ30" s="1057">
        <f t="shared" si="43"/>
        <v>0</v>
      </c>
      <c r="BR30" s="1057">
        <f t="shared" si="44"/>
        <v>0</v>
      </c>
      <c r="BS30" s="1057">
        <f t="shared" si="45"/>
        <v>0</v>
      </c>
      <c r="BT30" s="1057"/>
      <c r="BU30" s="1057"/>
      <c r="BV30" s="1057"/>
      <c r="BW30" s="6"/>
    </row>
    <row r="31" spans="1:75" s="4" customFormat="1" ht="15.95" customHeight="1" thickTop="1" thickBot="1">
      <c r="A31" s="52">
        <v>25</v>
      </c>
      <c r="B31" s="1538"/>
      <c r="C31" s="54"/>
      <c r="D31" s="1691"/>
      <c r="E31" s="1692"/>
      <c r="F31" s="1487"/>
      <c r="G31" s="55"/>
      <c r="H31" s="62">
        <f t="shared" si="47"/>
        <v>0</v>
      </c>
      <c r="I31" s="57"/>
      <c r="J31" s="58"/>
      <c r="L31" s="6"/>
      <c r="M31" s="52">
        <v>25</v>
      </c>
      <c r="N31" s="857" t="str">
        <f t="shared" si="46"/>
        <v/>
      </c>
      <c r="O31" s="71" t="str">
        <f t="shared" si="3"/>
        <v/>
      </c>
      <c r="P31" s="1689"/>
      <c r="Q31" s="1690"/>
      <c r="R31" s="72" t="str">
        <f t="shared" si="4"/>
        <v/>
      </c>
      <c r="S31" s="62"/>
      <c r="T31" s="857" t="str">
        <f t="shared" si="5"/>
        <v/>
      </c>
      <c r="U31" s="63" t="str">
        <f t="shared" si="6"/>
        <v/>
      </c>
      <c r="X31" s="4">
        <f t="shared" si="7"/>
        <v>0</v>
      </c>
      <c r="Y31" s="4">
        <f t="shared" si="8"/>
        <v>0</v>
      </c>
      <c r="AA31" s="4">
        <f t="shared" si="9"/>
        <v>0</v>
      </c>
      <c r="AB31" s="4">
        <f t="shared" si="10"/>
        <v>0</v>
      </c>
      <c r="AD31" s="4">
        <f t="shared" si="11"/>
        <v>0</v>
      </c>
      <c r="AE31" s="4">
        <f t="shared" si="12"/>
        <v>0</v>
      </c>
      <c r="AF31" s="4">
        <f t="shared" si="13"/>
        <v>0</v>
      </c>
      <c r="AH31" s="4">
        <f t="shared" si="14"/>
        <v>0</v>
      </c>
      <c r="AI31" s="4">
        <f t="shared" si="15"/>
        <v>0</v>
      </c>
      <c r="AJ31" s="4">
        <f t="shared" si="16"/>
        <v>0</v>
      </c>
      <c r="AK31" s="4">
        <f t="shared" si="17"/>
        <v>0</v>
      </c>
      <c r="AL31" s="4">
        <f t="shared" si="18"/>
        <v>0</v>
      </c>
      <c r="AN31" s="4">
        <f t="shared" si="19"/>
        <v>0</v>
      </c>
      <c r="AO31" s="4">
        <f t="shared" si="20"/>
        <v>0</v>
      </c>
      <c r="AP31" s="4">
        <f t="shared" si="21"/>
        <v>0</v>
      </c>
      <c r="AQ31" s="4">
        <f t="shared" si="0"/>
        <v>0</v>
      </c>
      <c r="AR31" s="4">
        <f t="shared" si="1"/>
        <v>0</v>
      </c>
      <c r="AT31" s="4">
        <f t="shared" si="22"/>
        <v>0</v>
      </c>
      <c r="AU31" s="4">
        <f t="shared" si="23"/>
        <v>0</v>
      </c>
      <c r="AV31" s="4">
        <f t="shared" si="24"/>
        <v>0</v>
      </c>
      <c r="AW31" s="4">
        <f t="shared" si="25"/>
        <v>0</v>
      </c>
      <c r="AX31" s="4">
        <f t="shared" si="26"/>
        <v>0</v>
      </c>
      <c r="AY31" s="835"/>
      <c r="AZ31" s="835">
        <f t="shared" si="27"/>
        <v>0</v>
      </c>
      <c r="BA31" s="835">
        <f t="shared" si="28"/>
        <v>0</v>
      </c>
      <c r="BB31" s="835">
        <f t="shared" si="29"/>
        <v>0</v>
      </c>
      <c r="BC31" s="835">
        <f t="shared" si="30"/>
        <v>0</v>
      </c>
      <c r="BD31" s="39"/>
      <c r="BE31" s="1057">
        <f t="shared" si="31"/>
        <v>0</v>
      </c>
      <c r="BF31" s="1057">
        <f t="shared" si="32"/>
        <v>0</v>
      </c>
      <c r="BG31" s="1057">
        <f t="shared" si="33"/>
        <v>0</v>
      </c>
      <c r="BH31" s="1057">
        <f t="shared" si="34"/>
        <v>0</v>
      </c>
      <c r="BI31" s="1057">
        <f t="shared" si="35"/>
        <v>0</v>
      </c>
      <c r="BJ31" s="1057">
        <f t="shared" si="36"/>
        <v>0</v>
      </c>
      <c r="BK31" s="1057">
        <f t="shared" si="37"/>
        <v>0</v>
      </c>
      <c r="BL31" s="1057">
        <f t="shared" si="38"/>
        <v>0</v>
      </c>
      <c r="BM31" s="1057">
        <f t="shared" si="39"/>
        <v>0</v>
      </c>
      <c r="BN31" s="1057">
        <f t="shared" si="40"/>
        <v>0</v>
      </c>
      <c r="BO31" s="1057">
        <f t="shared" si="41"/>
        <v>0</v>
      </c>
      <c r="BP31" s="1057">
        <f t="shared" si="42"/>
        <v>0</v>
      </c>
      <c r="BQ31" s="1057">
        <f t="shared" si="43"/>
        <v>0</v>
      </c>
      <c r="BR31" s="1057">
        <f t="shared" si="44"/>
        <v>0</v>
      </c>
      <c r="BS31" s="1057">
        <f t="shared" si="45"/>
        <v>0</v>
      </c>
      <c r="BT31" s="1057"/>
      <c r="BU31" s="1057"/>
      <c r="BV31" s="1057"/>
      <c r="BW31" s="6"/>
    </row>
    <row r="32" spans="1:75" s="4" customFormat="1" ht="15.95" customHeight="1" thickTop="1" thickBot="1">
      <c r="A32" s="52">
        <v>26</v>
      </c>
      <c r="B32" s="1538"/>
      <c r="C32" s="54"/>
      <c r="D32" s="1691"/>
      <c r="E32" s="1692"/>
      <c r="F32" s="1487"/>
      <c r="G32" s="55"/>
      <c r="H32" s="62">
        <f t="shared" si="47"/>
        <v>0</v>
      </c>
      <c r="I32" s="57"/>
      <c r="J32" s="58"/>
      <c r="L32" s="6"/>
      <c r="M32" s="52">
        <v>26</v>
      </c>
      <c r="N32" s="857" t="str">
        <f t="shared" si="46"/>
        <v/>
      </c>
      <c r="O32" s="71" t="str">
        <f t="shared" si="3"/>
        <v/>
      </c>
      <c r="P32" s="1689"/>
      <c r="Q32" s="1690"/>
      <c r="R32" s="72" t="str">
        <f t="shared" si="4"/>
        <v/>
      </c>
      <c r="S32" s="62"/>
      <c r="T32" s="857" t="str">
        <f t="shared" si="5"/>
        <v/>
      </c>
      <c r="U32" s="63" t="str">
        <f t="shared" si="6"/>
        <v/>
      </c>
      <c r="X32" s="4">
        <f t="shared" si="7"/>
        <v>0</v>
      </c>
      <c r="Y32" s="4">
        <f t="shared" si="8"/>
        <v>0</v>
      </c>
      <c r="AA32" s="4">
        <f t="shared" si="9"/>
        <v>0</v>
      </c>
      <c r="AB32" s="4">
        <f t="shared" si="10"/>
        <v>0</v>
      </c>
      <c r="AD32" s="4">
        <f t="shared" si="11"/>
        <v>0</v>
      </c>
      <c r="AE32" s="4">
        <f t="shared" si="12"/>
        <v>0</v>
      </c>
      <c r="AF32" s="4">
        <f t="shared" si="13"/>
        <v>0</v>
      </c>
      <c r="AH32" s="4">
        <f t="shared" si="14"/>
        <v>0</v>
      </c>
      <c r="AI32" s="4">
        <f t="shared" si="15"/>
        <v>0</v>
      </c>
      <c r="AJ32" s="4">
        <f t="shared" si="16"/>
        <v>0</v>
      </c>
      <c r="AK32" s="4">
        <f t="shared" si="17"/>
        <v>0</v>
      </c>
      <c r="AL32" s="4">
        <f t="shared" si="18"/>
        <v>0</v>
      </c>
      <c r="AN32" s="4">
        <f t="shared" si="19"/>
        <v>0</v>
      </c>
      <c r="AO32" s="4">
        <f t="shared" si="20"/>
        <v>0</v>
      </c>
      <c r="AP32" s="4">
        <f t="shared" si="21"/>
        <v>0</v>
      </c>
      <c r="AQ32" s="4">
        <f t="shared" si="0"/>
        <v>0</v>
      </c>
      <c r="AR32" s="4">
        <f t="shared" si="1"/>
        <v>0</v>
      </c>
      <c r="AT32" s="4">
        <f t="shared" si="22"/>
        <v>0</v>
      </c>
      <c r="AU32" s="4">
        <f t="shared" si="23"/>
        <v>0</v>
      </c>
      <c r="AV32" s="4">
        <f t="shared" si="24"/>
        <v>0</v>
      </c>
      <c r="AW32" s="4">
        <f t="shared" si="25"/>
        <v>0</v>
      </c>
      <c r="AX32" s="4">
        <f t="shared" si="26"/>
        <v>0</v>
      </c>
      <c r="AY32" s="835"/>
      <c r="AZ32" s="835">
        <f t="shared" si="27"/>
        <v>0</v>
      </c>
      <c r="BA32" s="835">
        <f t="shared" si="28"/>
        <v>0</v>
      </c>
      <c r="BB32" s="835">
        <f t="shared" si="29"/>
        <v>0</v>
      </c>
      <c r="BC32" s="835">
        <f t="shared" si="30"/>
        <v>0</v>
      </c>
      <c r="BD32" s="39"/>
      <c r="BE32" s="1057">
        <f t="shared" si="31"/>
        <v>0</v>
      </c>
      <c r="BF32" s="1057">
        <f t="shared" si="32"/>
        <v>0</v>
      </c>
      <c r="BG32" s="1057">
        <f t="shared" si="33"/>
        <v>0</v>
      </c>
      <c r="BH32" s="1057">
        <f t="shared" si="34"/>
        <v>0</v>
      </c>
      <c r="BI32" s="1057">
        <f t="shared" si="35"/>
        <v>0</v>
      </c>
      <c r="BJ32" s="1057">
        <f t="shared" si="36"/>
        <v>0</v>
      </c>
      <c r="BK32" s="1057">
        <f t="shared" si="37"/>
        <v>0</v>
      </c>
      <c r="BL32" s="1057">
        <f t="shared" si="38"/>
        <v>0</v>
      </c>
      <c r="BM32" s="1057">
        <f t="shared" si="39"/>
        <v>0</v>
      </c>
      <c r="BN32" s="1057">
        <f t="shared" si="40"/>
        <v>0</v>
      </c>
      <c r="BO32" s="1057">
        <f t="shared" si="41"/>
        <v>0</v>
      </c>
      <c r="BP32" s="1057">
        <f t="shared" si="42"/>
        <v>0</v>
      </c>
      <c r="BQ32" s="1057">
        <f t="shared" si="43"/>
        <v>0</v>
      </c>
      <c r="BR32" s="1057">
        <f t="shared" si="44"/>
        <v>0</v>
      </c>
      <c r="BS32" s="1057">
        <f t="shared" si="45"/>
        <v>0</v>
      </c>
      <c r="BT32" s="1057"/>
      <c r="BU32" s="1057"/>
      <c r="BV32" s="1057"/>
      <c r="BW32" s="6"/>
    </row>
    <row r="33" spans="1:75" s="4" customFormat="1" ht="15.95" customHeight="1" thickTop="1" thickBot="1">
      <c r="A33" s="52">
        <v>27</v>
      </c>
      <c r="B33" s="1538"/>
      <c r="C33" s="54"/>
      <c r="D33" s="1691"/>
      <c r="E33" s="1692"/>
      <c r="F33" s="1487"/>
      <c r="G33" s="55"/>
      <c r="H33" s="62">
        <f t="shared" si="47"/>
        <v>0</v>
      </c>
      <c r="I33" s="57"/>
      <c r="J33" s="58"/>
      <c r="L33" s="6"/>
      <c r="M33" s="52">
        <v>27</v>
      </c>
      <c r="N33" s="857" t="str">
        <f t="shared" si="46"/>
        <v/>
      </c>
      <c r="O33" s="71" t="str">
        <f t="shared" si="3"/>
        <v/>
      </c>
      <c r="P33" s="1689"/>
      <c r="Q33" s="1690"/>
      <c r="R33" s="72" t="str">
        <f t="shared" si="4"/>
        <v/>
      </c>
      <c r="S33" s="62"/>
      <c r="T33" s="857" t="str">
        <f t="shared" si="5"/>
        <v/>
      </c>
      <c r="U33" s="63" t="str">
        <f t="shared" si="6"/>
        <v/>
      </c>
      <c r="X33" s="4">
        <f t="shared" si="7"/>
        <v>0</v>
      </c>
      <c r="Y33" s="4">
        <f t="shared" si="8"/>
        <v>0</v>
      </c>
      <c r="AA33" s="4">
        <f t="shared" si="9"/>
        <v>0</v>
      </c>
      <c r="AB33" s="4">
        <f t="shared" si="10"/>
        <v>0</v>
      </c>
      <c r="AD33" s="4">
        <f t="shared" si="11"/>
        <v>0</v>
      </c>
      <c r="AE33" s="4">
        <f t="shared" si="12"/>
        <v>0</v>
      </c>
      <c r="AF33" s="4">
        <f t="shared" si="13"/>
        <v>0</v>
      </c>
      <c r="AH33" s="4">
        <f t="shared" si="14"/>
        <v>0</v>
      </c>
      <c r="AI33" s="4">
        <f t="shared" si="15"/>
        <v>0</v>
      </c>
      <c r="AJ33" s="4">
        <f t="shared" si="16"/>
        <v>0</v>
      </c>
      <c r="AK33" s="4">
        <f t="shared" si="17"/>
        <v>0</v>
      </c>
      <c r="AL33" s="4">
        <f t="shared" si="18"/>
        <v>0</v>
      </c>
      <c r="AN33" s="4">
        <f t="shared" si="19"/>
        <v>0</v>
      </c>
      <c r="AO33" s="4">
        <f t="shared" si="20"/>
        <v>0</v>
      </c>
      <c r="AP33" s="4">
        <f t="shared" si="21"/>
        <v>0</v>
      </c>
      <c r="AQ33" s="4">
        <f t="shared" si="0"/>
        <v>0</v>
      </c>
      <c r="AR33" s="4">
        <f t="shared" si="1"/>
        <v>0</v>
      </c>
      <c r="AT33" s="4">
        <f t="shared" si="22"/>
        <v>0</v>
      </c>
      <c r="AU33" s="4">
        <f t="shared" si="23"/>
        <v>0</v>
      </c>
      <c r="AV33" s="4">
        <f t="shared" si="24"/>
        <v>0</v>
      </c>
      <c r="AW33" s="4">
        <f t="shared" si="25"/>
        <v>0</v>
      </c>
      <c r="AX33" s="4">
        <f t="shared" si="26"/>
        <v>0</v>
      </c>
      <c r="AY33" s="835"/>
      <c r="AZ33" s="835">
        <f t="shared" si="27"/>
        <v>0</v>
      </c>
      <c r="BA33" s="835">
        <f t="shared" si="28"/>
        <v>0</v>
      </c>
      <c r="BB33" s="835">
        <f t="shared" si="29"/>
        <v>0</v>
      </c>
      <c r="BC33" s="835">
        <f t="shared" si="30"/>
        <v>0</v>
      </c>
      <c r="BD33" s="39"/>
      <c r="BE33" s="1057">
        <f t="shared" si="31"/>
        <v>0</v>
      </c>
      <c r="BF33" s="1057">
        <f t="shared" si="32"/>
        <v>0</v>
      </c>
      <c r="BG33" s="1057">
        <f t="shared" si="33"/>
        <v>0</v>
      </c>
      <c r="BH33" s="1057">
        <f t="shared" si="34"/>
        <v>0</v>
      </c>
      <c r="BI33" s="1057">
        <f t="shared" si="35"/>
        <v>0</v>
      </c>
      <c r="BJ33" s="1057">
        <f t="shared" si="36"/>
        <v>0</v>
      </c>
      <c r="BK33" s="1057">
        <f t="shared" si="37"/>
        <v>0</v>
      </c>
      <c r="BL33" s="1057">
        <f t="shared" si="38"/>
        <v>0</v>
      </c>
      <c r="BM33" s="1057">
        <f t="shared" si="39"/>
        <v>0</v>
      </c>
      <c r="BN33" s="1057">
        <f t="shared" si="40"/>
        <v>0</v>
      </c>
      <c r="BO33" s="1057">
        <f t="shared" si="41"/>
        <v>0</v>
      </c>
      <c r="BP33" s="1057">
        <f t="shared" si="42"/>
        <v>0</v>
      </c>
      <c r="BQ33" s="1057">
        <f t="shared" si="43"/>
        <v>0</v>
      </c>
      <c r="BR33" s="1057">
        <f t="shared" si="44"/>
        <v>0</v>
      </c>
      <c r="BS33" s="1057">
        <f t="shared" si="45"/>
        <v>0</v>
      </c>
      <c r="BT33" s="1057"/>
      <c r="BU33" s="1057"/>
      <c r="BV33" s="1057"/>
      <c r="BW33" s="6"/>
    </row>
    <row r="34" spans="1:75" s="4" customFormat="1" ht="15.95" customHeight="1" thickTop="1" thickBot="1">
      <c r="A34" s="52">
        <v>28</v>
      </c>
      <c r="B34" s="1538"/>
      <c r="C34" s="54"/>
      <c r="D34" s="1691"/>
      <c r="E34" s="1692"/>
      <c r="F34" s="1487"/>
      <c r="G34" s="55"/>
      <c r="H34" s="62">
        <f t="shared" si="47"/>
        <v>0</v>
      </c>
      <c r="I34" s="57"/>
      <c r="J34" s="58"/>
      <c r="L34" s="6"/>
      <c r="M34" s="52">
        <v>28</v>
      </c>
      <c r="N34" s="857" t="str">
        <f t="shared" si="46"/>
        <v/>
      </c>
      <c r="O34" s="71" t="str">
        <f t="shared" si="3"/>
        <v/>
      </c>
      <c r="P34" s="1689"/>
      <c r="Q34" s="1690"/>
      <c r="R34" s="72" t="str">
        <f t="shared" si="4"/>
        <v/>
      </c>
      <c r="S34" s="62"/>
      <c r="T34" s="857" t="str">
        <f t="shared" si="5"/>
        <v/>
      </c>
      <c r="U34" s="63" t="str">
        <f t="shared" si="6"/>
        <v/>
      </c>
      <c r="X34" s="4">
        <f t="shared" si="7"/>
        <v>0</v>
      </c>
      <c r="Y34" s="4">
        <f t="shared" si="8"/>
        <v>0</v>
      </c>
      <c r="AA34" s="4">
        <f t="shared" si="9"/>
        <v>0</v>
      </c>
      <c r="AB34" s="4">
        <f t="shared" si="10"/>
        <v>0</v>
      </c>
      <c r="AD34" s="4">
        <f t="shared" si="11"/>
        <v>0</v>
      </c>
      <c r="AE34" s="4">
        <f t="shared" si="12"/>
        <v>0</v>
      </c>
      <c r="AF34" s="4">
        <f t="shared" si="13"/>
        <v>0</v>
      </c>
      <c r="AH34" s="4">
        <f t="shared" si="14"/>
        <v>0</v>
      </c>
      <c r="AI34" s="4">
        <f t="shared" si="15"/>
        <v>0</v>
      </c>
      <c r="AJ34" s="4">
        <f t="shared" si="16"/>
        <v>0</v>
      </c>
      <c r="AK34" s="4">
        <f t="shared" si="17"/>
        <v>0</v>
      </c>
      <c r="AL34" s="4">
        <f t="shared" si="18"/>
        <v>0</v>
      </c>
      <c r="AN34" s="4">
        <f t="shared" si="19"/>
        <v>0</v>
      </c>
      <c r="AO34" s="4">
        <f t="shared" si="20"/>
        <v>0</v>
      </c>
      <c r="AP34" s="4">
        <f t="shared" si="21"/>
        <v>0</v>
      </c>
      <c r="AQ34" s="4">
        <f t="shared" si="0"/>
        <v>0</v>
      </c>
      <c r="AR34" s="4">
        <f t="shared" si="1"/>
        <v>0</v>
      </c>
      <c r="AT34" s="4">
        <f t="shared" si="22"/>
        <v>0</v>
      </c>
      <c r="AU34" s="4">
        <f t="shared" si="23"/>
        <v>0</v>
      </c>
      <c r="AV34" s="4">
        <f t="shared" si="24"/>
        <v>0</v>
      </c>
      <c r="AW34" s="4">
        <f t="shared" si="25"/>
        <v>0</v>
      </c>
      <c r="AX34" s="4">
        <f t="shared" si="26"/>
        <v>0</v>
      </c>
      <c r="AY34" s="835"/>
      <c r="AZ34" s="835">
        <f t="shared" si="27"/>
        <v>0</v>
      </c>
      <c r="BA34" s="835">
        <f t="shared" si="28"/>
        <v>0</v>
      </c>
      <c r="BB34" s="835">
        <f t="shared" si="29"/>
        <v>0</v>
      </c>
      <c r="BC34" s="835">
        <f t="shared" si="30"/>
        <v>0</v>
      </c>
      <c r="BD34" s="39"/>
      <c r="BE34" s="1057">
        <f t="shared" si="31"/>
        <v>0</v>
      </c>
      <c r="BF34" s="1057">
        <f t="shared" si="32"/>
        <v>0</v>
      </c>
      <c r="BG34" s="1057">
        <f t="shared" si="33"/>
        <v>0</v>
      </c>
      <c r="BH34" s="1057">
        <f t="shared" si="34"/>
        <v>0</v>
      </c>
      <c r="BI34" s="1057">
        <f t="shared" si="35"/>
        <v>0</v>
      </c>
      <c r="BJ34" s="1057">
        <f t="shared" si="36"/>
        <v>0</v>
      </c>
      <c r="BK34" s="1057">
        <f t="shared" si="37"/>
        <v>0</v>
      </c>
      <c r="BL34" s="1057">
        <f t="shared" si="38"/>
        <v>0</v>
      </c>
      <c r="BM34" s="1057">
        <f t="shared" si="39"/>
        <v>0</v>
      </c>
      <c r="BN34" s="1057">
        <f t="shared" si="40"/>
        <v>0</v>
      </c>
      <c r="BO34" s="1057">
        <f t="shared" si="41"/>
        <v>0</v>
      </c>
      <c r="BP34" s="1057">
        <f t="shared" si="42"/>
        <v>0</v>
      </c>
      <c r="BQ34" s="1057">
        <f t="shared" si="43"/>
        <v>0</v>
      </c>
      <c r="BR34" s="1057">
        <f t="shared" si="44"/>
        <v>0</v>
      </c>
      <c r="BS34" s="1057">
        <f t="shared" si="45"/>
        <v>0</v>
      </c>
      <c r="BT34" s="1057"/>
      <c r="BU34" s="1057"/>
      <c r="BV34" s="1057"/>
      <c r="BW34" s="6"/>
    </row>
    <row r="35" spans="1:75" s="4" customFormat="1" ht="15.95" customHeight="1" thickTop="1" thickBot="1">
      <c r="A35" s="52">
        <v>29</v>
      </c>
      <c r="B35" s="1538"/>
      <c r="C35" s="54"/>
      <c r="D35" s="1691"/>
      <c r="E35" s="1692"/>
      <c r="F35" s="1487"/>
      <c r="G35" s="55"/>
      <c r="H35" s="62">
        <f t="shared" si="47"/>
        <v>0</v>
      </c>
      <c r="I35" s="57"/>
      <c r="J35" s="58"/>
      <c r="L35" s="6"/>
      <c r="M35" s="52">
        <v>29</v>
      </c>
      <c r="N35" s="857" t="str">
        <f t="shared" si="46"/>
        <v/>
      </c>
      <c r="O35" s="71" t="str">
        <f t="shared" si="3"/>
        <v/>
      </c>
      <c r="P35" s="1689"/>
      <c r="Q35" s="1690"/>
      <c r="R35" s="72" t="str">
        <f t="shared" si="4"/>
        <v/>
      </c>
      <c r="S35" s="62"/>
      <c r="T35" s="857" t="str">
        <f t="shared" si="5"/>
        <v/>
      </c>
      <c r="U35" s="63" t="str">
        <f t="shared" si="6"/>
        <v/>
      </c>
      <c r="X35" s="4">
        <f t="shared" si="7"/>
        <v>0</v>
      </c>
      <c r="Y35" s="4">
        <f t="shared" si="8"/>
        <v>0</v>
      </c>
      <c r="AA35" s="4">
        <f t="shared" si="9"/>
        <v>0</v>
      </c>
      <c r="AB35" s="4">
        <f t="shared" si="10"/>
        <v>0</v>
      </c>
      <c r="AD35" s="4">
        <f t="shared" si="11"/>
        <v>0</v>
      </c>
      <c r="AE35" s="4">
        <f t="shared" si="12"/>
        <v>0</v>
      </c>
      <c r="AF35" s="4">
        <f t="shared" si="13"/>
        <v>0</v>
      </c>
      <c r="AH35" s="4">
        <f t="shared" si="14"/>
        <v>0</v>
      </c>
      <c r="AI35" s="4">
        <f t="shared" si="15"/>
        <v>0</v>
      </c>
      <c r="AJ35" s="4">
        <f t="shared" si="16"/>
        <v>0</v>
      </c>
      <c r="AK35" s="4">
        <f t="shared" si="17"/>
        <v>0</v>
      </c>
      <c r="AL35" s="4">
        <f t="shared" si="18"/>
        <v>0</v>
      </c>
      <c r="AN35" s="4">
        <f t="shared" si="19"/>
        <v>0</v>
      </c>
      <c r="AO35" s="4">
        <f t="shared" si="20"/>
        <v>0</v>
      </c>
      <c r="AP35" s="4">
        <f t="shared" si="21"/>
        <v>0</v>
      </c>
      <c r="AQ35" s="4">
        <f t="shared" si="0"/>
        <v>0</v>
      </c>
      <c r="AR35" s="4">
        <f t="shared" si="1"/>
        <v>0</v>
      </c>
      <c r="AT35" s="4">
        <f t="shared" si="22"/>
        <v>0</v>
      </c>
      <c r="AU35" s="4">
        <f t="shared" si="23"/>
        <v>0</v>
      </c>
      <c r="AV35" s="4">
        <f t="shared" si="24"/>
        <v>0</v>
      </c>
      <c r="AW35" s="4">
        <f t="shared" si="25"/>
        <v>0</v>
      </c>
      <c r="AX35" s="4">
        <f t="shared" si="26"/>
        <v>0</v>
      </c>
      <c r="AY35" s="835"/>
      <c r="AZ35" s="835">
        <f t="shared" si="27"/>
        <v>0</v>
      </c>
      <c r="BA35" s="835">
        <f t="shared" si="28"/>
        <v>0</v>
      </c>
      <c r="BB35" s="835">
        <f t="shared" si="29"/>
        <v>0</v>
      </c>
      <c r="BC35" s="835">
        <f t="shared" si="30"/>
        <v>0</v>
      </c>
      <c r="BD35" s="39"/>
      <c r="BE35" s="1057">
        <f t="shared" si="31"/>
        <v>0</v>
      </c>
      <c r="BF35" s="1057">
        <f t="shared" si="32"/>
        <v>0</v>
      </c>
      <c r="BG35" s="1057">
        <f t="shared" si="33"/>
        <v>0</v>
      </c>
      <c r="BH35" s="1057">
        <f t="shared" si="34"/>
        <v>0</v>
      </c>
      <c r="BI35" s="1057">
        <f t="shared" si="35"/>
        <v>0</v>
      </c>
      <c r="BJ35" s="1057">
        <f t="shared" si="36"/>
        <v>0</v>
      </c>
      <c r="BK35" s="1057">
        <f t="shared" si="37"/>
        <v>0</v>
      </c>
      <c r="BL35" s="1057">
        <f t="shared" si="38"/>
        <v>0</v>
      </c>
      <c r="BM35" s="1057">
        <f t="shared" si="39"/>
        <v>0</v>
      </c>
      <c r="BN35" s="1057">
        <f t="shared" si="40"/>
        <v>0</v>
      </c>
      <c r="BO35" s="1057">
        <f t="shared" si="41"/>
        <v>0</v>
      </c>
      <c r="BP35" s="1057">
        <f t="shared" si="42"/>
        <v>0</v>
      </c>
      <c r="BQ35" s="1057">
        <f t="shared" si="43"/>
        <v>0</v>
      </c>
      <c r="BR35" s="1057">
        <f t="shared" si="44"/>
        <v>0</v>
      </c>
      <c r="BS35" s="1057">
        <f t="shared" si="45"/>
        <v>0</v>
      </c>
      <c r="BT35" s="1057"/>
      <c r="BU35" s="1057"/>
      <c r="BV35" s="1057"/>
      <c r="BW35" s="6"/>
    </row>
    <row r="36" spans="1:75" s="4" customFormat="1" ht="15.95" customHeight="1" thickTop="1" thickBot="1">
      <c r="A36" s="52">
        <v>30</v>
      </c>
      <c r="B36" s="1538"/>
      <c r="C36" s="54"/>
      <c r="D36" s="1691"/>
      <c r="E36" s="1692"/>
      <c r="F36" s="1487"/>
      <c r="G36" s="55"/>
      <c r="H36" s="62">
        <f t="shared" si="47"/>
        <v>0</v>
      </c>
      <c r="I36" s="57"/>
      <c r="J36" s="58"/>
      <c r="L36" s="6"/>
      <c r="M36" s="52">
        <v>30</v>
      </c>
      <c r="N36" s="857" t="str">
        <f t="shared" si="46"/>
        <v/>
      </c>
      <c r="O36" s="71" t="str">
        <f t="shared" si="3"/>
        <v/>
      </c>
      <c r="P36" s="1689"/>
      <c r="Q36" s="1690"/>
      <c r="R36" s="72" t="str">
        <f t="shared" si="4"/>
        <v/>
      </c>
      <c r="S36" s="62"/>
      <c r="T36" s="857" t="str">
        <f t="shared" si="5"/>
        <v/>
      </c>
      <c r="U36" s="63" t="str">
        <f t="shared" si="6"/>
        <v/>
      </c>
      <c r="X36" s="4">
        <f t="shared" si="7"/>
        <v>0</v>
      </c>
      <c r="Y36" s="4">
        <f t="shared" si="8"/>
        <v>0</v>
      </c>
      <c r="AA36" s="4">
        <f t="shared" si="9"/>
        <v>0</v>
      </c>
      <c r="AB36" s="4">
        <f t="shared" si="10"/>
        <v>0</v>
      </c>
      <c r="AD36" s="4">
        <f t="shared" si="11"/>
        <v>0</v>
      </c>
      <c r="AE36" s="4">
        <f t="shared" si="12"/>
        <v>0</v>
      </c>
      <c r="AF36" s="4">
        <f t="shared" si="13"/>
        <v>0</v>
      </c>
      <c r="AH36" s="4">
        <f t="shared" si="14"/>
        <v>0</v>
      </c>
      <c r="AI36" s="4">
        <f t="shared" si="15"/>
        <v>0</v>
      </c>
      <c r="AJ36" s="4">
        <f t="shared" si="16"/>
        <v>0</v>
      </c>
      <c r="AK36" s="4">
        <f t="shared" si="17"/>
        <v>0</v>
      </c>
      <c r="AL36" s="4">
        <f t="shared" si="18"/>
        <v>0</v>
      </c>
      <c r="AN36" s="4">
        <f t="shared" si="19"/>
        <v>0</v>
      </c>
      <c r="AO36" s="4">
        <f t="shared" si="20"/>
        <v>0</v>
      </c>
      <c r="AP36" s="4">
        <f t="shared" si="21"/>
        <v>0</v>
      </c>
      <c r="AQ36" s="4">
        <f t="shared" si="0"/>
        <v>0</v>
      </c>
      <c r="AR36" s="4">
        <f t="shared" si="1"/>
        <v>0</v>
      </c>
      <c r="AT36" s="4">
        <f t="shared" si="22"/>
        <v>0</v>
      </c>
      <c r="AU36" s="4">
        <f t="shared" si="23"/>
        <v>0</v>
      </c>
      <c r="AV36" s="4">
        <f t="shared" si="24"/>
        <v>0</v>
      </c>
      <c r="AW36" s="4">
        <f t="shared" si="25"/>
        <v>0</v>
      </c>
      <c r="AX36" s="4">
        <f t="shared" si="26"/>
        <v>0</v>
      </c>
      <c r="AY36" s="835"/>
      <c r="AZ36" s="835">
        <f t="shared" si="27"/>
        <v>0</v>
      </c>
      <c r="BA36" s="835">
        <f t="shared" si="28"/>
        <v>0</v>
      </c>
      <c r="BB36" s="835">
        <f t="shared" si="29"/>
        <v>0</v>
      </c>
      <c r="BC36" s="835">
        <f t="shared" si="30"/>
        <v>0</v>
      </c>
      <c r="BD36" s="39"/>
      <c r="BE36" s="1057">
        <f t="shared" si="31"/>
        <v>0</v>
      </c>
      <c r="BF36" s="1057">
        <f t="shared" si="32"/>
        <v>0</v>
      </c>
      <c r="BG36" s="1057">
        <f t="shared" si="33"/>
        <v>0</v>
      </c>
      <c r="BH36" s="1057">
        <f t="shared" si="34"/>
        <v>0</v>
      </c>
      <c r="BI36" s="1057">
        <f t="shared" si="35"/>
        <v>0</v>
      </c>
      <c r="BJ36" s="1057">
        <f t="shared" si="36"/>
        <v>0</v>
      </c>
      <c r="BK36" s="1057">
        <f t="shared" si="37"/>
        <v>0</v>
      </c>
      <c r="BL36" s="1057">
        <f t="shared" si="38"/>
        <v>0</v>
      </c>
      <c r="BM36" s="1057">
        <f t="shared" si="39"/>
        <v>0</v>
      </c>
      <c r="BN36" s="1057">
        <f t="shared" si="40"/>
        <v>0</v>
      </c>
      <c r="BO36" s="1057">
        <f t="shared" si="41"/>
        <v>0</v>
      </c>
      <c r="BP36" s="1057">
        <f t="shared" si="42"/>
        <v>0</v>
      </c>
      <c r="BQ36" s="1057">
        <f t="shared" si="43"/>
        <v>0</v>
      </c>
      <c r="BR36" s="1057">
        <f t="shared" si="44"/>
        <v>0</v>
      </c>
      <c r="BS36" s="1057">
        <f t="shared" si="45"/>
        <v>0</v>
      </c>
      <c r="BT36" s="1057"/>
      <c r="BU36" s="1057"/>
      <c r="BV36" s="1057"/>
      <c r="BW36" s="6"/>
    </row>
    <row r="37" spans="1:75" s="4" customFormat="1" ht="15.95" customHeight="1" thickTop="1" thickBot="1">
      <c r="A37" s="52">
        <v>31</v>
      </c>
      <c r="B37" s="1538"/>
      <c r="C37" s="54"/>
      <c r="D37" s="1691"/>
      <c r="E37" s="1692"/>
      <c r="F37" s="1487"/>
      <c r="G37" s="55"/>
      <c r="H37" s="62">
        <f t="shared" si="47"/>
        <v>0</v>
      </c>
      <c r="I37" s="57"/>
      <c r="J37" s="58"/>
      <c r="L37" s="6"/>
      <c r="M37" s="52">
        <v>31</v>
      </c>
      <c r="N37" s="857" t="str">
        <f t="shared" si="46"/>
        <v/>
      </c>
      <c r="O37" s="71" t="str">
        <f t="shared" si="3"/>
        <v/>
      </c>
      <c r="P37" s="1689"/>
      <c r="Q37" s="1690"/>
      <c r="R37" s="72" t="str">
        <f t="shared" si="4"/>
        <v/>
      </c>
      <c r="S37" s="62"/>
      <c r="T37" s="857" t="str">
        <f t="shared" si="5"/>
        <v/>
      </c>
      <c r="U37" s="63" t="str">
        <f t="shared" si="6"/>
        <v/>
      </c>
      <c r="X37" s="4">
        <f t="shared" si="7"/>
        <v>0</v>
      </c>
      <c r="Y37" s="4">
        <f t="shared" si="8"/>
        <v>0</v>
      </c>
      <c r="AA37" s="4">
        <f t="shared" si="9"/>
        <v>0</v>
      </c>
      <c r="AB37" s="4">
        <f t="shared" si="10"/>
        <v>0</v>
      </c>
      <c r="AD37" s="4">
        <f t="shared" si="11"/>
        <v>0</v>
      </c>
      <c r="AE37" s="4">
        <f t="shared" si="12"/>
        <v>0</v>
      </c>
      <c r="AF37" s="4">
        <f t="shared" si="13"/>
        <v>0</v>
      </c>
      <c r="AH37" s="4">
        <f t="shared" si="14"/>
        <v>0</v>
      </c>
      <c r="AI37" s="4">
        <f t="shared" si="15"/>
        <v>0</v>
      </c>
      <c r="AJ37" s="4">
        <f t="shared" si="16"/>
        <v>0</v>
      </c>
      <c r="AK37" s="4">
        <f t="shared" si="17"/>
        <v>0</v>
      </c>
      <c r="AL37" s="4">
        <f t="shared" si="18"/>
        <v>0</v>
      </c>
      <c r="AN37" s="4">
        <f t="shared" si="19"/>
        <v>0</v>
      </c>
      <c r="AO37" s="4">
        <f t="shared" si="20"/>
        <v>0</v>
      </c>
      <c r="AP37" s="4">
        <f t="shared" si="21"/>
        <v>0</v>
      </c>
      <c r="AQ37" s="4">
        <f t="shared" si="0"/>
        <v>0</v>
      </c>
      <c r="AR37" s="4">
        <f t="shared" si="1"/>
        <v>0</v>
      </c>
      <c r="AT37" s="4">
        <f t="shared" si="22"/>
        <v>0</v>
      </c>
      <c r="AU37" s="4">
        <f t="shared" si="23"/>
        <v>0</v>
      </c>
      <c r="AV37" s="4">
        <f t="shared" si="24"/>
        <v>0</v>
      </c>
      <c r="AW37" s="4">
        <f t="shared" si="25"/>
        <v>0</v>
      </c>
      <c r="AX37" s="4">
        <f t="shared" si="26"/>
        <v>0</v>
      </c>
      <c r="AY37" s="835"/>
      <c r="AZ37" s="835">
        <f t="shared" si="27"/>
        <v>0</v>
      </c>
      <c r="BA37" s="835">
        <f t="shared" si="28"/>
        <v>0</v>
      </c>
      <c r="BB37" s="835">
        <f t="shared" si="29"/>
        <v>0</v>
      </c>
      <c r="BC37" s="835">
        <f t="shared" si="30"/>
        <v>0</v>
      </c>
      <c r="BD37" s="39"/>
      <c r="BE37" s="1057">
        <f t="shared" si="31"/>
        <v>0</v>
      </c>
      <c r="BF37" s="1057">
        <f t="shared" si="32"/>
        <v>0</v>
      </c>
      <c r="BG37" s="1057">
        <f t="shared" si="33"/>
        <v>0</v>
      </c>
      <c r="BH37" s="1057">
        <f t="shared" si="34"/>
        <v>0</v>
      </c>
      <c r="BI37" s="1057">
        <f t="shared" si="35"/>
        <v>0</v>
      </c>
      <c r="BJ37" s="1057">
        <f t="shared" si="36"/>
        <v>0</v>
      </c>
      <c r="BK37" s="1057">
        <f t="shared" si="37"/>
        <v>0</v>
      </c>
      <c r="BL37" s="1057">
        <f t="shared" si="38"/>
        <v>0</v>
      </c>
      <c r="BM37" s="1057">
        <f t="shared" si="39"/>
        <v>0</v>
      </c>
      <c r="BN37" s="1057">
        <f t="shared" si="40"/>
        <v>0</v>
      </c>
      <c r="BO37" s="1057">
        <f t="shared" si="41"/>
        <v>0</v>
      </c>
      <c r="BP37" s="1057">
        <f t="shared" si="42"/>
        <v>0</v>
      </c>
      <c r="BQ37" s="1057">
        <f t="shared" si="43"/>
        <v>0</v>
      </c>
      <c r="BR37" s="1057">
        <f t="shared" si="44"/>
        <v>0</v>
      </c>
      <c r="BS37" s="1057">
        <f t="shared" si="45"/>
        <v>0</v>
      </c>
      <c r="BT37" s="1057"/>
      <c r="BU37" s="1057"/>
      <c r="BV37" s="1057"/>
      <c r="BW37" s="6"/>
    </row>
    <row r="38" spans="1:75" s="4" customFormat="1" ht="15.95" customHeight="1" thickTop="1" thickBot="1">
      <c r="A38" s="52">
        <v>32</v>
      </c>
      <c r="B38" s="1538"/>
      <c r="C38" s="54"/>
      <c r="D38" s="1691"/>
      <c r="E38" s="1692"/>
      <c r="F38" s="1487"/>
      <c r="G38" s="55"/>
      <c r="H38" s="62">
        <f t="shared" si="47"/>
        <v>0</v>
      </c>
      <c r="I38" s="57"/>
      <c r="J38" s="58"/>
      <c r="L38" s="6"/>
      <c r="M38" s="52">
        <v>32</v>
      </c>
      <c r="N38" s="857" t="str">
        <f t="shared" si="46"/>
        <v/>
      </c>
      <c r="O38" s="71" t="str">
        <f t="shared" si="3"/>
        <v/>
      </c>
      <c r="P38" s="1689"/>
      <c r="Q38" s="1690"/>
      <c r="R38" s="72" t="str">
        <f t="shared" si="4"/>
        <v/>
      </c>
      <c r="S38" s="62"/>
      <c r="T38" s="857" t="str">
        <f t="shared" si="5"/>
        <v/>
      </c>
      <c r="U38" s="63" t="str">
        <f t="shared" si="6"/>
        <v/>
      </c>
      <c r="X38" s="4">
        <f t="shared" si="7"/>
        <v>0</v>
      </c>
      <c r="Y38" s="4">
        <f t="shared" si="8"/>
        <v>0</v>
      </c>
      <c r="AA38" s="4">
        <f t="shared" si="9"/>
        <v>0</v>
      </c>
      <c r="AB38" s="4">
        <f t="shared" si="10"/>
        <v>0</v>
      </c>
      <c r="AD38" s="4">
        <f t="shared" si="11"/>
        <v>0</v>
      </c>
      <c r="AE38" s="4">
        <f t="shared" si="12"/>
        <v>0</v>
      </c>
      <c r="AF38" s="4">
        <f t="shared" si="13"/>
        <v>0</v>
      </c>
      <c r="AH38" s="4">
        <f t="shared" si="14"/>
        <v>0</v>
      </c>
      <c r="AI38" s="4">
        <f t="shared" si="15"/>
        <v>0</v>
      </c>
      <c r="AJ38" s="4">
        <f t="shared" si="16"/>
        <v>0</v>
      </c>
      <c r="AK38" s="4">
        <f t="shared" si="17"/>
        <v>0</v>
      </c>
      <c r="AL38" s="4">
        <f t="shared" si="18"/>
        <v>0</v>
      </c>
      <c r="AN38" s="4">
        <f t="shared" si="19"/>
        <v>0</v>
      </c>
      <c r="AO38" s="4">
        <f t="shared" si="20"/>
        <v>0</v>
      </c>
      <c r="AP38" s="4">
        <f t="shared" si="21"/>
        <v>0</v>
      </c>
      <c r="AQ38" s="4">
        <f t="shared" si="0"/>
        <v>0</v>
      </c>
      <c r="AR38" s="4">
        <f t="shared" si="1"/>
        <v>0</v>
      </c>
      <c r="AT38" s="4">
        <f t="shared" si="22"/>
        <v>0</v>
      </c>
      <c r="AU38" s="4">
        <f t="shared" si="23"/>
        <v>0</v>
      </c>
      <c r="AV38" s="4">
        <f t="shared" si="24"/>
        <v>0</v>
      </c>
      <c r="AW38" s="4">
        <f t="shared" si="25"/>
        <v>0</v>
      </c>
      <c r="AX38" s="4">
        <f t="shared" si="26"/>
        <v>0</v>
      </c>
      <c r="AY38" s="835"/>
      <c r="AZ38" s="835">
        <f t="shared" si="27"/>
        <v>0</v>
      </c>
      <c r="BA38" s="835">
        <f t="shared" si="28"/>
        <v>0</v>
      </c>
      <c r="BB38" s="835">
        <f t="shared" si="29"/>
        <v>0</v>
      </c>
      <c r="BC38" s="835">
        <f t="shared" si="30"/>
        <v>0</v>
      </c>
      <c r="BD38" s="39"/>
      <c r="BE38" s="1057">
        <f t="shared" si="31"/>
        <v>0</v>
      </c>
      <c r="BF38" s="1057">
        <f t="shared" si="32"/>
        <v>0</v>
      </c>
      <c r="BG38" s="1057">
        <f t="shared" si="33"/>
        <v>0</v>
      </c>
      <c r="BH38" s="1057">
        <f t="shared" si="34"/>
        <v>0</v>
      </c>
      <c r="BI38" s="1057">
        <f t="shared" si="35"/>
        <v>0</v>
      </c>
      <c r="BJ38" s="1057">
        <f t="shared" si="36"/>
        <v>0</v>
      </c>
      <c r="BK38" s="1057">
        <f t="shared" si="37"/>
        <v>0</v>
      </c>
      <c r="BL38" s="1057">
        <f t="shared" si="38"/>
        <v>0</v>
      </c>
      <c r="BM38" s="1057">
        <f t="shared" si="39"/>
        <v>0</v>
      </c>
      <c r="BN38" s="1057">
        <f t="shared" si="40"/>
        <v>0</v>
      </c>
      <c r="BO38" s="1057">
        <f t="shared" si="41"/>
        <v>0</v>
      </c>
      <c r="BP38" s="1057">
        <f t="shared" si="42"/>
        <v>0</v>
      </c>
      <c r="BQ38" s="1057">
        <f t="shared" si="43"/>
        <v>0</v>
      </c>
      <c r="BR38" s="1057">
        <f t="shared" si="44"/>
        <v>0</v>
      </c>
      <c r="BS38" s="1057">
        <f t="shared" si="45"/>
        <v>0</v>
      </c>
      <c r="BT38" s="1057"/>
      <c r="BU38" s="1057"/>
      <c r="BV38" s="1057"/>
      <c r="BW38" s="6"/>
    </row>
    <row r="39" spans="1:75" s="4" customFormat="1" ht="15.95" customHeight="1" thickTop="1" thickBot="1">
      <c r="A39" s="52">
        <v>33</v>
      </c>
      <c r="B39" s="1538"/>
      <c r="C39" s="54"/>
      <c r="D39" s="1691"/>
      <c r="E39" s="1692"/>
      <c r="F39" s="1487"/>
      <c r="G39" s="55"/>
      <c r="H39" s="62">
        <f t="shared" si="47"/>
        <v>0</v>
      </c>
      <c r="I39" s="73"/>
      <c r="J39" s="58"/>
      <c r="L39" s="6"/>
      <c r="M39" s="52">
        <v>33</v>
      </c>
      <c r="N39" s="857" t="str">
        <f t="shared" si="46"/>
        <v/>
      </c>
      <c r="O39" s="71" t="str">
        <f t="shared" si="3"/>
        <v/>
      </c>
      <c r="P39" s="1689"/>
      <c r="Q39" s="1690"/>
      <c r="R39" s="72" t="str">
        <f t="shared" si="4"/>
        <v/>
      </c>
      <c r="S39" s="62"/>
      <c r="T39" s="857" t="str">
        <f t="shared" si="5"/>
        <v/>
      </c>
      <c r="U39" s="63" t="str">
        <f t="shared" si="6"/>
        <v/>
      </c>
      <c r="X39" s="4">
        <f t="shared" si="7"/>
        <v>0</v>
      </c>
      <c r="Y39" s="4">
        <f t="shared" si="8"/>
        <v>0</v>
      </c>
      <c r="AA39" s="4">
        <f t="shared" si="9"/>
        <v>0</v>
      </c>
      <c r="AB39" s="4">
        <f t="shared" si="10"/>
        <v>0</v>
      </c>
      <c r="AD39" s="4">
        <f t="shared" si="11"/>
        <v>0</v>
      </c>
      <c r="AE39" s="4">
        <f t="shared" si="12"/>
        <v>0</v>
      </c>
      <c r="AF39" s="4">
        <f t="shared" si="13"/>
        <v>0</v>
      </c>
      <c r="AH39" s="4">
        <f t="shared" si="14"/>
        <v>0</v>
      </c>
      <c r="AI39" s="4">
        <f t="shared" si="15"/>
        <v>0</v>
      </c>
      <c r="AJ39" s="4">
        <f t="shared" si="16"/>
        <v>0</v>
      </c>
      <c r="AK39" s="4">
        <f t="shared" si="17"/>
        <v>0</v>
      </c>
      <c r="AL39" s="4">
        <f t="shared" si="18"/>
        <v>0</v>
      </c>
      <c r="AN39" s="4">
        <f t="shared" si="19"/>
        <v>0</v>
      </c>
      <c r="AO39" s="4">
        <f t="shared" si="20"/>
        <v>0</v>
      </c>
      <c r="AP39" s="4">
        <f t="shared" si="21"/>
        <v>0</v>
      </c>
      <c r="AQ39" s="4">
        <f t="shared" si="0"/>
        <v>0</v>
      </c>
      <c r="AR39" s="4">
        <f t="shared" si="1"/>
        <v>0</v>
      </c>
      <c r="AT39" s="4">
        <f t="shared" si="22"/>
        <v>0</v>
      </c>
      <c r="AU39" s="4">
        <f t="shared" si="23"/>
        <v>0</v>
      </c>
      <c r="AV39" s="4">
        <f t="shared" si="24"/>
        <v>0</v>
      </c>
      <c r="AW39" s="4">
        <f t="shared" si="25"/>
        <v>0</v>
      </c>
      <c r="AX39" s="4">
        <f t="shared" si="26"/>
        <v>0</v>
      </c>
      <c r="AY39" s="835"/>
      <c r="AZ39" s="835">
        <f t="shared" si="27"/>
        <v>0</v>
      </c>
      <c r="BA39" s="835">
        <f t="shared" si="28"/>
        <v>0</v>
      </c>
      <c r="BB39" s="835">
        <f t="shared" si="29"/>
        <v>0</v>
      </c>
      <c r="BC39" s="835">
        <f t="shared" si="30"/>
        <v>0</v>
      </c>
      <c r="BD39" s="39"/>
      <c r="BE39" s="1057">
        <f t="shared" si="31"/>
        <v>0</v>
      </c>
      <c r="BF39" s="1057">
        <f t="shared" si="32"/>
        <v>0</v>
      </c>
      <c r="BG39" s="1057">
        <f t="shared" si="33"/>
        <v>0</v>
      </c>
      <c r="BH39" s="1057">
        <f t="shared" si="34"/>
        <v>0</v>
      </c>
      <c r="BI39" s="1057">
        <f t="shared" si="35"/>
        <v>0</v>
      </c>
      <c r="BJ39" s="1057">
        <f t="shared" si="36"/>
        <v>0</v>
      </c>
      <c r="BK39" s="1057">
        <f t="shared" si="37"/>
        <v>0</v>
      </c>
      <c r="BL39" s="1057">
        <f t="shared" si="38"/>
        <v>0</v>
      </c>
      <c r="BM39" s="1057">
        <f t="shared" si="39"/>
        <v>0</v>
      </c>
      <c r="BN39" s="1057">
        <f t="shared" si="40"/>
        <v>0</v>
      </c>
      <c r="BO39" s="1057">
        <f t="shared" si="41"/>
        <v>0</v>
      </c>
      <c r="BP39" s="1057">
        <f t="shared" si="42"/>
        <v>0</v>
      </c>
      <c r="BQ39" s="1057">
        <f t="shared" si="43"/>
        <v>0</v>
      </c>
      <c r="BR39" s="1057">
        <f t="shared" si="44"/>
        <v>0</v>
      </c>
      <c r="BS39" s="1057">
        <f t="shared" si="45"/>
        <v>0</v>
      </c>
      <c r="BT39" s="1057"/>
      <c r="BU39" s="1057"/>
      <c r="BV39" s="1057"/>
      <c r="BW39" s="6"/>
    </row>
    <row r="40" spans="1:75" s="4" customFormat="1" ht="15.95" customHeight="1" thickTop="1" thickBot="1">
      <c r="A40" s="52">
        <v>34</v>
      </c>
      <c r="B40" s="1538"/>
      <c r="C40" s="54"/>
      <c r="D40" s="1691"/>
      <c r="E40" s="1692"/>
      <c r="F40" s="1487"/>
      <c r="G40" s="55"/>
      <c r="H40" s="62">
        <f t="shared" si="47"/>
        <v>0</v>
      </c>
      <c r="I40" s="73"/>
      <c r="J40" s="58"/>
      <c r="L40" s="6"/>
      <c r="M40" s="52">
        <v>34</v>
      </c>
      <c r="N40" s="857" t="str">
        <f t="shared" si="46"/>
        <v/>
      </c>
      <c r="O40" s="71" t="str">
        <f t="shared" si="3"/>
        <v/>
      </c>
      <c r="P40" s="1689"/>
      <c r="Q40" s="1690"/>
      <c r="R40" s="72" t="str">
        <f t="shared" si="4"/>
        <v/>
      </c>
      <c r="S40" s="62"/>
      <c r="T40" s="857" t="str">
        <f t="shared" si="5"/>
        <v/>
      </c>
      <c r="U40" s="63" t="str">
        <f t="shared" si="6"/>
        <v/>
      </c>
      <c r="X40" s="4">
        <f t="shared" si="7"/>
        <v>0</v>
      </c>
      <c r="Y40" s="4">
        <f t="shared" si="8"/>
        <v>0</v>
      </c>
      <c r="AA40" s="4">
        <f t="shared" si="9"/>
        <v>0</v>
      </c>
      <c r="AB40" s="4">
        <f t="shared" si="10"/>
        <v>0</v>
      </c>
      <c r="AD40" s="4">
        <f t="shared" si="11"/>
        <v>0</v>
      </c>
      <c r="AE40" s="4">
        <f t="shared" si="12"/>
        <v>0</v>
      </c>
      <c r="AF40" s="4">
        <f t="shared" si="13"/>
        <v>0</v>
      </c>
      <c r="AH40" s="4">
        <f t="shared" si="14"/>
        <v>0</v>
      </c>
      <c r="AI40" s="4">
        <f t="shared" si="15"/>
        <v>0</v>
      </c>
      <c r="AJ40" s="4">
        <f t="shared" si="16"/>
        <v>0</v>
      </c>
      <c r="AK40" s="4">
        <f t="shared" si="17"/>
        <v>0</v>
      </c>
      <c r="AL40" s="4">
        <f t="shared" si="18"/>
        <v>0</v>
      </c>
      <c r="AN40" s="4">
        <f t="shared" si="19"/>
        <v>0</v>
      </c>
      <c r="AO40" s="4">
        <f t="shared" si="20"/>
        <v>0</v>
      </c>
      <c r="AP40" s="4">
        <f t="shared" si="21"/>
        <v>0</v>
      </c>
      <c r="AQ40" s="4">
        <f t="shared" si="0"/>
        <v>0</v>
      </c>
      <c r="AR40" s="4">
        <f t="shared" si="1"/>
        <v>0</v>
      </c>
      <c r="AT40" s="4">
        <f t="shared" si="22"/>
        <v>0</v>
      </c>
      <c r="AU40" s="4">
        <f t="shared" si="23"/>
        <v>0</v>
      </c>
      <c r="AV40" s="4">
        <f t="shared" si="24"/>
        <v>0</v>
      </c>
      <c r="AW40" s="4">
        <f t="shared" si="25"/>
        <v>0</v>
      </c>
      <c r="AX40" s="4">
        <f t="shared" si="26"/>
        <v>0</v>
      </c>
      <c r="AY40" s="835"/>
      <c r="AZ40" s="835">
        <f t="shared" si="27"/>
        <v>0</v>
      </c>
      <c r="BA40" s="835">
        <f t="shared" si="28"/>
        <v>0</v>
      </c>
      <c r="BB40" s="835">
        <f t="shared" si="29"/>
        <v>0</v>
      </c>
      <c r="BC40" s="835">
        <f t="shared" si="30"/>
        <v>0</v>
      </c>
      <c r="BD40" s="39"/>
      <c r="BE40" s="1057">
        <f t="shared" si="31"/>
        <v>0</v>
      </c>
      <c r="BF40" s="1057">
        <f t="shared" si="32"/>
        <v>0</v>
      </c>
      <c r="BG40" s="1057">
        <f t="shared" si="33"/>
        <v>0</v>
      </c>
      <c r="BH40" s="1057">
        <f t="shared" si="34"/>
        <v>0</v>
      </c>
      <c r="BI40" s="1057">
        <f t="shared" si="35"/>
        <v>0</v>
      </c>
      <c r="BJ40" s="1057">
        <f t="shared" si="36"/>
        <v>0</v>
      </c>
      <c r="BK40" s="1057">
        <f t="shared" si="37"/>
        <v>0</v>
      </c>
      <c r="BL40" s="1057">
        <f t="shared" si="38"/>
        <v>0</v>
      </c>
      <c r="BM40" s="1057">
        <f t="shared" si="39"/>
        <v>0</v>
      </c>
      <c r="BN40" s="1057">
        <f t="shared" si="40"/>
        <v>0</v>
      </c>
      <c r="BO40" s="1057">
        <f t="shared" si="41"/>
        <v>0</v>
      </c>
      <c r="BP40" s="1057">
        <f t="shared" si="42"/>
        <v>0</v>
      </c>
      <c r="BQ40" s="1057">
        <f t="shared" si="43"/>
        <v>0</v>
      </c>
      <c r="BR40" s="1057">
        <f t="shared" si="44"/>
        <v>0</v>
      </c>
      <c r="BS40" s="1057">
        <f t="shared" si="45"/>
        <v>0</v>
      </c>
      <c r="BT40" s="1057"/>
      <c r="BU40" s="1057"/>
      <c r="BV40" s="1057"/>
      <c r="BW40" s="6"/>
    </row>
    <row r="41" spans="1:75" s="4" customFormat="1" ht="15.95" customHeight="1" thickTop="1" thickBot="1">
      <c r="A41" s="52">
        <v>35</v>
      </c>
      <c r="B41" s="1538"/>
      <c r="C41" s="54"/>
      <c r="D41" s="1691"/>
      <c r="E41" s="1692"/>
      <c r="F41" s="1487"/>
      <c r="G41" s="55"/>
      <c r="H41" s="62">
        <f t="shared" si="47"/>
        <v>0</v>
      </c>
      <c r="I41" s="73"/>
      <c r="J41" s="58"/>
      <c r="L41" s="6"/>
      <c r="M41" s="52">
        <v>35</v>
      </c>
      <c r="N41" s="857" t="str">
        <f t="shared" si="46"/>
        <v/>
      </c>
      <c r="O41" s="71" t="str">
        <f t="shared" si="3"/>
        <v/>
      </c>
      <c r="P41" s="1689"/>
      <c r="Q41" s="1690"/>
      <c r="R41" s="72" t="str">
        <f t="shared" si="4"/>
        <v/>
      </c>
      <c r="S41" s="62"/>
      <c r="T41" s="857" t="str">
        <f t="shared" si="5"/>
        <v/>
      </c>
      <c r="U41" s="63" t="str">
        <f t="shared" si="6"/>
        <v/>
      </c>
      <c r="X41" s="4">
        <f t="shared" si="7"/>
        <v>0</v>
      </c>
      <c r="Y41" s="4">
        <f t="shared" si="8"/>
        <v>0</v>
      </c>
      <c r="AA41" s="4">
        <f t="shared" si="9"/>
        <v>0</v>
      </c>
      <c r="AB41" s="4">
        <f t="shared" si="10"/>
        <v>0</v>
      </c>
      <c r="AD41" s="4">
        <f t="shared" si="11"/>
        <v>0</v>
      </c>
      <c r="AE41" s="4">
        <f t="shared" si="12"/>
        <v>0</v>
      </c>
      <c r="AF41" s="4">
        <f t="shared" si="13"/>
        <v>0</v>
      </c>
      <c r="AH41" s="4">
        <f t="shared" si="14"/>
        <v>0</v>
      </c>
      <c r="AI41" s="4">
        <f t="shared" si="15"/>
        <v>0</v>
      </c>
      <c r="AJ41" s="4">
        <f t="shared" si="16"/>
        <v>0</v>
      </c>
      <c r="AK41" s="4">
        <f t="shared" si="17"/>
        <v>0</v>
      </c>
      <c r="AL41" s="4">
        <f t="shared" si="18"/>
        <v>0</v>
      </c>
      <c r="AN41" s="4">
        <f t="shared" si="19"/>
        <v>0</v>
      </c>
      <c r="AO41" s="4">
        <f t="shared" si="20"/>
        <v>0</v>
      </c>
      <c r="AP41" s="4">
        <f t="shared" si="21"/>
        <v>0</v>
      </c>
      <c r="AQ41" s="4">
        <f t="shared" si="0"/>
        <v>0</v>
      </c>
      <c r="AR41" s="4">
        <f t="shared" si="1"/>
        <v>0</v>
      </c>
      <c r="AT41" s="4">
        <f t="shared" si="22"/>
        <v>0</v>
      </c>
      <c r="AU41" s="4">
        <f t="shared" si="23"/>
        <v>0</v>
      </c>
      <c r="AV41" s="4">
        <f t="shared" si="24"/>
        <v>0</v>
      </c>
      <c r="AW41" s="4">
        <f t="shared" si="25"/>
        <v>0</v>
      </c>
      <c r="AX41" s="4">
        <f t="shared" si="26"/>
        <v>0</v>
      </c>
      <c r="AY41" s="835"/>
      <c r="AZ41" s="835">
        <f t="shared" si="27"/>
        <v>0</v>
      </c>
      <c r="BA41" s="835">
        <f t="shared" si="28"/>
        <v>0</v>
      </c>
      <c r="BB41" s="835">
        <f t="shared" si="29"/>
        <v>0</v>
      </c>
      <c r="BC41" s="835">
        <f t="shared" si="30"/>
        <v>0</v>
      </c>
      <c r="BD41" s="39"/>
      <c r="BE41" s="1057">
        <f t="shared" si="31"/>
        <v>0</v>
      </c>
      <c r="BF41" s="1057">
        <f t="shared" si="32"/>
        <v>0</v>
      </c>
      <c r="BG41" s="1057">
        <f t="shared" si="33"/>
        <v>0</v>
      </c>
      <c r="BH41" s="1057">
        <f t="shared" si="34"/>
        <v>0</v>
      </c>
      <c r="BI41" s="1057">
        <f t="shared" si="35"/>
        <v>0</v>
      </c>
      <c r="BJ41" s="1057">
        <f t="shared" si="36"/>
        <v>0</v>
      </c>
      <c r="BK41" s="1057">
        <f t="shared" si="37"/>
        <v>0</v>
      </c>
      <c r="BL41" s="1057">
        <f t="shared" si="38"/>
        <v>0</v>
      </c>
      <c r="BM41" s="1057">
        <f t="shared" si="39"/>
        <v>0</v>
      </c>
      <c r="BN41" s="1057">
        <f t="shared" si="40"/>
        <v>0</v>
      </c>
      <c r="BO41" s="1057">
        <f t="shared" si="41"/>
        <v>0</v>
      </c>
      <c r="BP41" s="1057">
        <f t="shared" si="42"/>
        <v>0</v>
      </c>
      <c r="BQ41" s="1057">
        <f t="shared" si="43"/>
        <v>0</v>
      </c>
      <c r="BR41" s="1057">
        <f t="shared" si="44"/>
        <v>0</v>
      </c>
      <c r="BS41" s="1057">
        <f t="shared" si="45"/>
        <v>0</v>
      </c>
      <c r="BT41" s="1057"/>
      <c r="BU41" s="1057"/>
      <c r="BV41" s="1057"/>
      <c r="BW41" s="6"/>
    </row>
    <row r="42" spans="1:75" s="4" customFormat="1" ht="15" customHeight="1" thickTop="1" thickBot="1">
      <c r="B42" s="12" t="s">
        <v>338</v>
      </c>
      <c r="C42" s="74">
        <f>SUM(C7:C41)</f>
        <v>0</v>
      </c>
      <c r="D42" s="835"/>
      <c r="E42" s="835"/>
      <c r="F42" s="1482"/>
      <c r="H42" s="75">
        <f>SUM(H7:H41)</f>
        <v>0</v>
      </c>
      <c r="I42" s="76"/>
      <c r="J42" s="77"/>
      <c r="L42" s="6"/>
      <c r="N42" s="12" t="s">
        <v>338</v>
      </c>
      <c r="O42" s="74"/>
      <c r="P42" s="842"/>
      <c r="Q42" s="842"/>
      <c r="S42" s="75"/>
      <c r="T42" s="76"/>
      <c r="U42" s="77"/>
      <c r="X42" s="78">
        <f>SUM(X7:X41)</f>
        <v>0</v>
      </c>
      <c r="Y42" s="844">
        <f>SUM(Y7:Y41)</f>
        <v>0</v>
      </c>
      <c r="AA42" s="79">
        <f>SUM(AA7:AA41)</f>
        <v>0</v>
      </c>
      <c r="AB42" s="79">
        <f>SUM(AB7:AB41)</f>
        <v>0</v>
      </c>
      <c r="AD42" s="78">
        <f>SUM(AD7:AD41)</f>
        <v>0</v>
      </c>
      <c r="AE42" s="78">
        <f>SUM(AE7:AE41)</f>
        <v>0</v>
      </c>
      <c r="AF42" s="78">
        <f>SUM(AF7:AF41)</f>
        <v>0</v>
      </c>
      <c r="AH42" s="78">
        <f>SUM(AH7:AH41)</f>
        <v>0</v>
      </c>
      <c r="AI42" s="78">
        <f>SUM(AI7:AI41)</f>
        <v>0</v>
      </c>
      <c r="AJ42" s="78">
        <f>SUM(AJ7:AJ41)</f>
        <v>0</v>
      </c>
      <c r="AK42" s="78">
        <f>SUM(AK7:AK41)</f>
        <v>0</v>
      </c>
      <c r="AL42" s="78">
        <f>SUM(AL7:AL41)</f>
        <v>0</v>
      </c>
      <c r="AN42" s="79">
        <f>SUM(AN7:AN41)</f>
        <v>0</v>
      </c>
      <c r="AO42" s="79">
        <f>SUM(AO7:AO41)</f>
        <v>0</v>
      </c>
      <c r="AP42" s="79">
        <f>SUM(AP7:AP41)</f>
        <v>0</v>
      </c>
      <c r="AQ42" s="79">
        <f>SUM(AQ7:AQ41)</f>
        <v>0</v>
      </c>
      <c r="AR42" s="79">
        <f>SUM(AR7:AR41)</f>
        <v>0</v>
      </c>
      <c r="AT42" s="79">
        <f>SUM(AT7:AT41)</f>
        <v>0</v>
      </c>
      <c r="AU42" s="79">
        <f>SUM(AU7:AU41)</f>
        <v>0</v>
      </c>
      <c r="AV42" s="79">
        <f>SUM(AV7:AV41)</f>
        <v>0</v>
      </c>
      <c r="AW42" s="79">
        <f>SUM(AW7:AW41)</f>
        <v>0</v>
      </c>
      <c r="AX42" s="79">
        <f>SUM(AX7:AX41)</f>
        <v>0</v>
      </c>
      <c r="AY42" s="836"/>
      <c r="AZ42" s="79">
        <f>SUM(AZ7:AZ41)</f>
        <v>0</v>
      </c>
      <c r="BA42" s="843">
        <f>SUM(BA7:BA41)</f>
        <v>0</v>
      </c>
      <c r="BB42" s="843">
        <f>SUM(BB7:BB41)</f>
        <v>0</v>
      </c>
      <c r="BC42" s="79">
        <f>SUM(BC7:BC41)</f>
        <v>0</v>
      </c>
      <c r="BD42" s="108"/>
      <c r="BE42" s="1120">
        <f>SUM(BE7:BE41)</f>
        <v>0</v>
      </c>
      <c r="BF42" s="1120">
        <f t="shared" ref="BF42:BI42" si="48">SUM(BF7:BF41)</f>
        <v>0</v>
      </c>
      <c r="BG42" s="1120">
        <f t="shared" si="48"/>
        <v>0</v>
      </c>
      <c r="BH42" s="1120">
        <f t="shared" si="48"/>
        <v>0</v>
      </c>
      <c r="BI42" s="1120">
        <f t="shared" si="48"/>
        <v>0</v>
      </c>
      <c r="BJ42" s="1120">
        <f t="shared" ref="BJ42" si="49">SUM(BJ7:BJ41)</f>
        <v>0</v>
      </c>
      <c r="BK42" s="1120">
        <f t="shared" ref="BK42" si="50">SUM(BK7:BK41)</f>
        <v>0</v>
      </c>
      <c r="BL42" s="1120">
        <f t="shared" ref="BL42" si="51">SUM(BL7:BL41)</f>
        <v>0</v>
      </c>
      <c r="BM42" s="1120">
        <f t="shared" ref="BM42" si="52">SUM(BM7:BM41)</f>
        <v>0</v>
      </c>
      <c r="BN42" s="1120">
        <f t="shared" ref="BN42:BS42" si="53">SUM(BN7:BN41)</f>
        <v>0</v>
      </c>
      <c r="BO42" s="1120">
        <f t="shared" si="53"/>
        <v>0</v>
      </c>
      <c r="BP42" s="1120">
        <f t="shared" si="53"/>
        <v>0</v>
      </c>
      <c r="BQ42" s="1120">
        <f t="shared" si="53"/>
        <v>0</v>
      </c>
      <c r="BR42" s="1120">
        <f t="shared" si="53"/>
        <v>0</v>
      </c>
      <c r="BS42" s="1120">
        <f t="shared" si="53"/>
        <v>0</v>
      </c>
      <c r="BT42" s="108"/>
      <c r="BU42" s="108"/>
      <c r="BV42" s="108"/>
      <c r="BW42" s="6"/>
    </row>
    <row r="43" spans="1:75" s="80" customFormat="1" ht="18" customHeight="1" thickTop="1">
      <c r="B43" s="81"/>
      <c r="C43" s="82" t="s">
        <v>339</v>
      </c>
      <c r="D43" s="82"/>
      <c r="E43" s="82"/>
      <c r="F43" s="82"/>
      <c r="H43" s="82" t="s">
        <v>340</v>
      </c>
      <c r="I43" s="82"/>
      <c r="J43" s="83"/>
      <c r="L43" s="84"/>
      <c r="N43" s="81"/>
      <c r="O43" s="82" t="s">
        <v>339</v>
      </c>
      <c r="P43" s="82"/>
      <c r="Q43" s="82"/>
      <c r="S43" s="82" t="s">
        <v>340</v>
      </c>
      <c r="T43" s="82"/>
      <c r="U43" s="83"/>
      <c r="BC43" s="849">
        <f>+BC42+AZ42</f>
        <v>0</v>
      </c>
      <c r="BD43" s="970"/>
      <c r="BE43" s="1050"/>
      <c r="BF43" s="1050"/>
      <c r="BG43" s="1050"/>
      <c r="BH43" s="1050"/>
      <c r="BI43" s="1050" t="s">
        <v>2281</v>
      </c>
      <c r="BJ43" s="1050">
        <f>+BE42+BJ42</f>
        <v>0</v>
      </c>
      <c r="BK43" s="1050">
        <f>+BF42+BK42</f>
        <v>0</v>
      </c>
      <c r="BL43" s="1050">
        <f>+BG42+BL42</f>
        <v>0</v>
      </c>
      <c r="BM43" s="1050">
        <f>+BH42+BM42</f>
        <v>0</v>
      </c>
      <c r="BN43" s="1050">
        <f>+BI42+BN42</f>
        <v>0</v>
      </c>
      <c r="BO43" s="1050"/>
      <c r="BP43" s="1050"/>
      <c r="BQ43" s="1050"/>
      <c r="BR43" s="1050"/>
      <c r="BS43" s="1050"/>
      <c r="BT43" s="1050"/>
      <c r="BU43" s="1050"/>
      <c r="BV43" s="1050"/>
      <c r="BW43" s="84"/>
    </row>
    <row r="44" spans="1:75" s="80" customFormat="1" ht="39" customHeight="1">
      <c r="A44" s="206" t="s">
        <v>101</v>
      </c>
      <c r="B44" s="1656" t="s">
        <v>1808</v>
      </c>
      <c r="C44" s="1656"/>
      <c r="D44" s="1656"/>
      <c r="E44" s="1656"/>
      <c r="F44" s="1656"/>
      <c r="G44" s="1656"/>
      <c r="H44" s="1656"/>
      <c r="I44" s="1656"/>
      <c r="J44" s="1656"/>
      <c r="L44" s="84"/>
      <c r="N44" s="81"/>
      <c r="O44" s="82"/>
      <c r="P44" s="82"/>
      <c r="Q44" s="82"/>
      <c r="S44" s="82"/>
      <c r="T44" s="82"/>
      <c r="U44" s="83"/>
      <c r="X44" s="1493">
        <v>1</v>
      </c>
      <c r="Y44" s="845">
        <f>+X42+Y42</f>
        <v>0</v>
      </c>
      <c r="Z44" s="37" t="s">
        <v>983</v>
      </c>
      <c r="AD44" s="1409">
        <v>0.4</v>
      </c>
      <c r="AE44" s="1409">
        <v>0.5</v>
      </c>
      <c r="AF44" s="1409">
        <v>0.6</v>
      </c>
      <c r="AZ44" s="80" t="s">
        <v>1923</v>
      </c>
      <c r="BA44" s="80" t="s">
        <v>1485</v>
      </c>
      <c r="BB44" s="80" t="s">
        <v>1922</v>
      </c>
      <c r="BC44" s="80" t="s">
        <v>1924</v>
      </c>
      <c r="BD44" s="976"/>
      <c r="BE44" s="976"/>
      <c r="BF44" s="976"/>
      <c r="BG44" s="976"/>
      <c r="BH44" s="976"/>
      <c r="BI44" s="976"/>
      <c r="BJ44" s="976"/>
      <c r="BK44" s="976"/>
      <c r="BL44" s="976"/>
      <c r="BM44" s="976"/>
      <c r="BN44" s="976"/>
      <c r="BO44" s="976"/>
      <c r="BP44" s="976"/>
      <c r="BQ44" s="976"/>
      <c r="BR44" s="976"/>
      <c r="BS44" s="976"/>
      <c r="BT44" s="976"/>
      <c r="BU44" s="976"/>
      <c r="BV44" s="976"/>
      <c r="BW44" s="84"/>
    </row>
    <row r="45" spans="1:75" s="80" customFormat="1" ht="6" customHeight="1">
      <c r="B45" s="751"/>
      <c r="C45" s="751"/>
      <c r="D45" s="832"/>
      <c r="E45" s="832"/>
      <c r="F45" s="1485"/>
      <c r="G45" s="751"/>
      <c r="H45" s="751"/>
      <c r="I45" s="751"/>
      <c r="J45" s="751"/>
      <c r="L45" s="84"/>
      <c r="N45" s="81"/>
      <c r="O45" s="82"/>
      <c r="P45" s="82"/>
      <c r="Q45" s="82"/>
      <c r="S45" s="82"/>
      <c r="T45" s="82"/>
      <c r="U45" s="83"/>
      <c r="BD45" s="976"/>
      <c r="BE45" s="976"/>
      <c r="BF45" s="976"/>
      <c r="BG45" s="976"/>
      <c r="BH45" s="976"/>
      <c r="BI45" s="976"/>
      <c r="BJ45" s="976"/>
      <c r="BK45" s="976"/>
      <c r="BL45" s="976"/>
      <c r="BM45" s="976"/>
      <c r="BN45" s="976"/>
      <c r="BO45" s="976"/>
      <c r="BP45" s="976"/>
      <c r="BQ45" s="976"/>
      <c r="BR45" s="976"/>
      <c r="BS45" s="976"/>
      <c r="BT45" s="976"/>
      <c r="BU45" s="976"/>
      <c r="BV45" s="976"/>
      <c r="BW45" s="84"/>
    </row>
    <row r="46" spans="1:75" s="4" customFormat="1" ht="26.1" customHeight="1">
      <c r="A46" s="206" t="s">
        <v>102</v>
      </c>
      <c r="B46" s="1656" t="s">
        <v>1807</v>
      </c>
      <c r="C46" s="1656"/>
      <c r="D46" s="1656"/>
      <c r="E46" s="1656"/>
      <c r="F46" s="1656"/>
      <c r="G46" s="1656"/>
      <c r="H46" s="1656"/>
      <c r="I46" s="1656"/>
      <c r="J46" s="1656"/>
      <c r="L46" s="6"/>
      <c r="M46" s="206" t="s">
        <v>101</v>
      </c>
      <c r="N46" s="1686" t="s">
        <v>1676</v>
      </c>
      <c r="O46" s="1686"/>
      <c r="P46" s="1686"/>
      <c r="Q46" s="1686"/>
      <c r="R46" s="1686"/>
      <c r="S46" s="1686"/>
      <c r="T46" s="1686"/>
      <c r="U46" s="1686"/>
      <c r="X46" s="86">
        <f>+X42</f>
        <v>0</v>
      </c>
      <c r="AD46" s="20">
        <f>+AD42</f>
        <v>0</v>
      </c>
      <c r="AE46" s="20">
        <f>+AE42</f>
        <v>0</v>
      </c>
      <c r="AF46" s="20">
        <f>+AF42</f>
        <v>0</v>
      </c>
      <c r="AH46" s="20">
        <f>+AH42+AN42</f>
        <v>0</v>
      </c>
      <c r="AI46" s="20">
        <f>+AI42+AO42</f>
        <v>0</v>
      </c>
      <c r="AJ46" s="20">
        <f>+AJ42+AP42</f>
        <v>0</v>
      </c>
      <c r="AK46" s="20">
        <f>+AK42+AQ42</f>
        <v>0</v>
      </c>
      <c r="AL46" s="20">
        <f>+AL42+AR42</f>
        <v>0</v>
      </c>
      <c r="AM46" s="85"/>
      <c r="AS46" s="85" t="s">
        <v>1002</v>
      </c>
      <c r="AT46" s="20">
        <f>IF(ISERROR(+AT42/AH42),0,+AT42/AH42)</f>
        <v>0</v>
      </c>
      <c r="AU46" s="20">
        <f>IF(ISERROR(+AU42/AI42),0,+AU42/AI42)</f>
        <v>0</v>
      </c>
      <c r="AV46" s="20">
        <f>IF(ISERROR(+AV42/AJ42),0,+AV42/AJ42)</f>
        <v>0</v>
      </c>
      <c r="AW46" s="20">
        <f>IF(ISERROR(+AW42/AK42),0,+AW42/AK42)</f>
        <v>0</v>
      </c>
      <c r="AX46" s="20">
        <f>IF(ISERROR(+AX42/AL42),0,+AX42/AL42)</f>
        <v>0</v>
      </c>
      <c r="AY46" s="39"/>
      <c r="AZ46" s="39"/>
      <c r="BA46" s="39"/>
      <c r="BB46" s="39"/>
      <c r="BC46" s="39" t="s">
        <v>1925</v>
      </c>
      <c r="BD46" s="39"/>
      <c r="BE46" s="1057"/>
      <c r="BF46" s="1057"/>
      <c r="BG46" s="1057"/>
      <c r="BH46" s="1057"/>
      <c r="BI46" s="1057"/>
      <c r="BJ46" s="1057"/>
      <c r="BK46" s="1057"/>
      <c r="BL46" s="1057"/>
      <c r="BM46" s="1057"/>
      <c r="BN46" s="1057"/>
      <c r="BO46" s="1057"/>
      <c r="BP46" s="1057"/>
      <c r="BQ46" s="1057"/>
      <c r="BR46" s="1057"/>
      <c r="BS46" s="1057"/>
      <c r="BT46" s="1057"/>
      <c r="BU46" s="1057"/>
      <c r="BV46" s="1057"/>
      <c r="BW46" s="6"/>
    </row>
    <row r="47" spans="1:75" s="39" customFormat="1" ht="6" customHeight="1">
      <c r="B47" s="87"/>
      <c r="C47" s="88"/>
      <c r="D47" s="88"/>
      <c r="E47" s="88"/>
      <c r="F47" s="88"/>
      <c r="H47" s="88"/>
      <c r="I47" s="88"/>
      <c r="J47" s="89"/>
      <c r="L47" s="6"/>
      <c r="N47" s="87"/>
      <c r="O47" s="88"/>
      <c r="P47" s="88"/>
      <c r="Q47" s="88"/>
      <c r="S47" s="88"/>
      <c r="T47" s="88"/>
      <c r="U47" s="89"/>
      <c r="X47" s="90"/>
      <c r="AM47" s="91"/>
      <c r="AS47" s="91"/>
      <c r="BE47" s="1057"/>
      <c r="BF47" s="1057"/>
      <c r="BG47" s="1057"/>
      <c r="BH47" s="1057"/>
      <c r="BI47" s="1057"/>
      <c r="BJ47" s="1057"/>
      <c r="BK47" s="1057"/>
      <c r="BL47" s="1057"/>
      <c r="BM47" s="1057"/>
      <c r="BN47" s="1057"/>
      <c r="BO47" s="1057"/>
      <c r="BP47" s="1057"/>
      <c r="BQ47" s="1057"/>
      <c r="BR47" s="1057"/>
      <c r="BS47" s="1057"/>
      <c r="BT47" s="1057"/>
      <c r="BU47" s="1057"/>
      <c r="BV47" s="1057"/>
      <c r="BW47" s="6"/>
    </row>
    <row r="48" spans="1:75" s="39" customFormat="1" ht="14.1" customHeight="1">
      <c r="A48" s="87" t="s">
        <v>57</v>
      </c>
      <c r="B48" s="39" t="s">
        <v>341</v>
      </c>
      <c r="F48" s="1486"/>
      <c r="L48" s="6"/>
      <c r="M48" s="87" t="s">
        <v>57</v>
      </c>
      <c r="N48" s="39" t="s">
        <v>341</v>
      </c>
      <c r="X48" s="1409">
        <v>1</v>
      </c>
      <c r="AD48" s="1409">
        <v>0.4</v>
      </c>
      <c r="AE48" s="1409">
        <v>0.5</v>
      </c>
      <c r="AF48" s="1409">
        <v>0.6</v>
      </c>
      <c r="BE48" s="1057"/>
      <c r="BF48" s="1057"/>
      <c r="BG48" s="1057"/>
      <c r="BH48" s="1057"/>
      <c r="BI48" s="1057"/>
      <c r="BJ48" s="1057"/>
      <c r="BK48" s="1057"/>
      <c r="BL48" s="1057"/>
      <c r="BM48" s="1057"/>
      <c r="BN48" s="1057"/>
      <c r="BO48" s="1057"/>
      <c r="BP48" s="1057"/>
      <c r="BQ48" s="1057"/>
      <c r="BR48" s="1057"/>
      <c r="BS48" s="1057"/>
      <c r="BT48" s="1057"/>
      <c r="BU48" s="1057"/>
      <c r="BV48" s="1057"/>
      <c r="BW48" s="6"/>
    </row>
    <row r="49" spans="2:75" s="4" customFormat="1" ht="6" customHeight="1">
      <c r="D49" s="835"/>
      <c r="E49" s="835"/>
      <c r="F49" s="1486"/>
      <c r="L49" s="6"/>
      <c r="P49" s="835"/>
      <c r="Q49" s="835"/>
      <c r="AY49" s="835"/>
      <c r="AZ49" s="835"/>
      <c r="BA49" s="835"/>
      <c r="BB49" s="835"/>
      <c r="BC49" s="835"/>
      <c r="BD49" s="39"/>
      <c r="BE49" s="1057"/>
      <c r="BF49" s="1057"/>
      <c r="BG49" s="1057"/>
      <c r="BH49" s="1057"/>
      <c r="BI49" s="1057"/>
      <c r="BJ49" s="1057"/>
      <c r="BK49" s="1057"/>
      <c r="BL49" s="1057"/>
      <c r="BM49" s="1057"/>
      <c r="BN49" s="1057"/>
      <c r="BO49" s="1057"/>
      <c r="BP49" s="1057"/>
      <c r="BQ49" s="1057"/>
      <c r="BR49" s="1057"/>
      <c r="BS49" s="1057"/>
      <c r="BT49" s="1057"/>
      <c r="BU49" s="1057"/>
      <c r="BV49" s="1057"/>
      <c r="BW49" s="6"/>
    </row>
    <row r="50" spans="2:75" s="4" customFormat="1" ht="14.1" customHeight="1" thickBot="1">
      <c r="B50" s="1603" t="s">
        <v>342</v>
      </c>
      <c r="C50" s="1603"/>
      <c r="D50" s="1603"/>
      <c r="E50" s="92">
        <f>+Y42</f>
        <v>0</v>
      </c>
      <c r="F50" s="1486"/>
      <c r="G50" s="1693" t="s">
        <v>343</v>
      </c>
      <c r="H50" s="1693"/>
      <c r="I50" s="1693"/>
      <c r="J50" s="94">
        <f>+AB42</f>
        <v>0</v>
      </c>
      <c r="L50" s="6"/>
      <c r="N50" s="4" t="s">
        <v>342</v>
      </c>
      <c r="P50" s="835"/>
      <c r="Q50" s="835"/>
      <c r="R50" s="92"/>
      <c r="S50" s="93" t="s">
        <v>343</v>
      </c>
      <c r="U50" s="95">
        <f>IF(J50="","",(J50))</f>
        <v>0</v>
      </c>
      <c r="X50" s="1410" t="s">
        <v>2478</v>
      </c>
      <c r="AD50" s="1410" t="s">
        <v>2478</v>
      </c>
      <c r="AE50" s="1410" t="s">
        <v>2478</v>
      </c>
      <c r="AF50" s="1410" t="s">
        <v>2478</v>
      </c>
      <c r="AY50" s="835"/>
      <c r="AZ50" s="835" t="s">
        <v>1927</v>
      </c>
      <c r="BA50" s="835">
        <f>+BA42</f>
        <v>0</v>
      </c>
      <c r="BB50" s="835" t="b">
        <f>IF(BA50&gt;0,TRUE,FALSE)</f>
        <v>0</v>
      </c>
      <c r="BC50" s="973">
        <f>IF(ISERROR(+BA50/$BA$56),0,+BA50/$BA$56)</f>
        <v>0</v>
      </c>
      <c r="BD50" s="977" t="s">
        <v>1814</v>
      </c>
      <c r="BE50" s="977"/>
      <c r="BF50" s="977"/>
      <c r="BG50" s="977"/>
      <c r="BH50" s="977"/>
      <c r="BI50" s="977"/>
      <c r="BJ50" s="977"/>
      <c r="BK50" s="977"/>
      <c r="BL50" s="977"/>
      <c r="BM50" s="977"/>
      <c r="BN50" s="977"/>
      <c r="BO50" s="977"/>
      <c r="BP50" s="977"/>
      <c r="BQ50" s="977"/>
      <c r="BR50" s="977"/>
      <c r="BS50" s="977"/>
      <c r="BT50" s="977"/>
      <c r="BU50" s="977"/>
      <c r="BV50" s="977"/>
      <c r="BW50" s="6"/>
    </row>
    <row r="51" spans="2:75" s="4" customFormat="1" ht="14.1" customHeight="1" thickTop="1">
      <c r="B51" s="1603" t="s">
        <v>559</v>
      </c>
      <c r="C51" s="1603"/>
      <c r="D51" s="1603"/>
      <c r="E51" s="12" t="s">
        <v>339</v>
      </c>
      <c r="F51" s="1486"/>
      <c r="G51" s="1693" t="s">
        <v>560</v>
      </c>
      <c r="H51" s="1693"/>
      <c r="I51" s="1693"/>
      <c r="J51" s="12" t="s">
        <v>340</v>
      </c>
      <c r="L51" s="6"/>
      <c r="N51" s="4" t="s">
        <v>559</v>
      </c>
      <c r="P51" s="835"/>
      <c r="Q51" s="835"/>
      <c r="R51" s="12" t="s">
        <v>339</v>
      </c>
      <c r="S51" s="93" t="s">
        <v>560</v>
      </c>
      <c r="U51" s="12" t="s">
        <v>340</v>
      </c>
      <c r="AY51" s="835"/>
      <c r="AZ51" s="835" t="s">
        <v>1928</v>
      </c>
      <c r="BA51" s="835">
        <f>+BC43</f>
        <v>0</v>
      </c>
      <c r="BB51" s="837" t="b">
        <f>IF(BA51&gt;0,TRUE,FALSE)</f>
        <v>0</v>
      </c>
      <c r="BC51" s="973">
        <f>IF(ISERROR(+BA51/$BA$56),0,+BA51/$BA$56)</f>
        <v>0</v>
      </c>
      <c r="BD51" s="977" t="s">
        <v>2069</v>
      </c>
      <c r="BE51" s="977"/>
      <c r="BF51" s="977"/>
      <c r="BG51" s="977"/>
      <c r="BH51" s="977"/>
      <c r="BI51" s="977"/>
      <c r="BJ51" s="977"/>
      <c r="BK51" s="977"/>
      <c r="BL51" s="977"/>
      <c r="BM51" s="977"/>
      <c r="BN51" s="977"/>
      <c r="BO51" s="977"/>
      <c r="BP51" s="977"/>
      <c r="BQ51" s="977"/>
      <c r="BR51" s="977"/>
      <c r="BS51" s="977"/>
      <c r="BT51" s="977"/>
      <c r="BU51" s="977"/>
      <c r="BV51" s="977"/>
      <c r="BW51" s="6"/>
    </row>
    <row r="52" spans="2:75" s="4" customFormat="1" ht="6" customHeight="1">
      <c r="D52" s="835"/>
      <c r="F52" s="1486"/>
      <c r="L52" s="6"/>
      <c r="P52" s="835"/>
      <c r="Q52" s="835"/>
      <c r="AY52" s="835"/>
      <c r="AZ52" s="835"/>
      <c r="BA52" s="835"/>
      <c r="BB52" s="835"/>
      <c r="BC52" s="835"/>
      <c r="BD52" s="39"/>
      <c r="BE52" s="1057"/>
      <c r="BF52" s="1057"/>
      <c r="BG52" s="1057"/>
      <c r="BH52" s="1057"/>
      <c r="BI52" s="1057"/>
      <c r="BJ52" s="1057"/>
      <c r="BK52" s="1057"/>
      <c r="BL52" s="1057"/>
      <c r="BM52" s="1057"/>
      <c r="BN52" s="1057"/>
      <c r="BO52" s="1057"/>
      <c r="BP52" s="1057"/>
      <c r="BQ52" s="1057"/>
      <c r="BR52" s="1057"/>
      <c r="BS52" s="1057"/>
      <c r="BT52" s="1057"/>
      <c r="BU52" s="1057"/>
      <c r="BV52" s="1057"/>
      <c r="BW52" s="6"/>
    </row>
    <row r="53" spans="2:75" s="4" customFormat="1" ht="14.1" customHeight="1" thickBot="1">
      <c r="B53" s="1603" t="s">
        <v>344</v>
      </c>
      <c r="C53" s="1603"/>
      <c r="D53" s="1603"/>
      <c r="E53" s="92">
        <f>+X42</f>
        <v>0</v>
      </c>
      <c r="F53" s="1486"/>
      <c r="G53" s="1693" t="s">
        <v>345</v>
      </c>
      <c r="H53" s="1693"/>
      <c r="I53" s="1693"/>
      <c r="J53" s="94">
        <f>+AA42</f>
        <v>0</v>
      </c>
      <c r="L53" s="6"/>
      <c r="N53" s="4" t="s">
        <v>344</v>
      </c>
      <c r="P53" s="835"/>
      <c r="Q53" s="835"/>
      <c r="R53" s="92"/>
      <c r="S53" s="93" t="s">
        <v>345</v>
      </c>
      <c r="U53" s="94"/>
      <c r="AY53" s="835"/>
      <c r="AZ53" s="835" t="s">
        <v>1929</v>
      </c>
      <c r="BA53" s="835">
        <f>+BB42</f>
        <v>0</v>
      </c>
      <c r="BB53" s="837" t="b">
        <f>IF(BA53&gt;0,TRUE,FALSE)</f>
        <v>0</v>
      </c>
      <c r="BC53" s="973">
        <f>IF(ISERROR(+BA53/$BA$56),0,+BA53/$BA$56)</f>
        <v>0</v>
      </c>
      <c r="BD53" s="977" t="s">
        <v>2070</v>
      </c>
      <c r="BE53" s="977"/>
      <c r="BF53" s="977"/>
      <c r="BG53" s="977"/>
      <c r="BH53" s="977"/>
      <c r="BI53" s="977"/>
      <c r="BJ53" s="977"/>
      <c r="BK53" s="977"/>
      <c r="BL53" s="977"/>
      <c r="BM53" s="977"/>
      <c r="BN53" s="977"/>
      <c r="BO53" s="977"/>
      <c r="BP53" s="977"/>
      <c r="BQ53" s="977"/>
      <c r="BR53" s="977"/>
      <c r="BS53" s="977"/>
      <c r="BT53" s="977"/>
      <c r="BU53" s="977"/>
      <c r="BV53" s="977"/>
      <c r="BW53" s="6"/>
    </row>
    <row r="54" spans="2:75" s="4" customFormat="1" ht="14.1" customHeight="1" thickTop="1">
      <c r="B54" s="1603" t="s">
        <v>559</v>
      </c>
      <c r="C54" s="1603"/>
      <c r="D54" s="1603"/>
      <c r="E54" s="12" t="s">
        <v>339</v>
      </c>
      <c r="F54" s="1486"/>
      <c r="G54" s="1693" t="s">
        <v>560</v>
      </c>
      <c r="H54" s="1693"/>
      <c r="I54" s="1693"/>
      <c r="J54" s="12" t="s">
        <v>340</v>
      </c>
      <c r="L54" s="6"/>
      <c r="N54" s="4" t="s">
        <v>559</v>
      </c>
      <c r="P54" s="835"/>
      <c r="Q54" s="835"/>
      <c r="R54" s="12" t="s">
        <v>339</v>
      </c>
      <c r="S54" s="93" t="s">
        <v>560</v>
      </c>
      <c r="U54" s="12" t="s">
        <v>340</v>
      </c>
      <c r="AY54" s="835"/>
      <c r="AZ54" s="835" t="s">
        <v>1930</v>
      </c>
      <c r="BA54" s="835"/>
      <c r="BB54" s="835" t="b">
        <f>IF('FORM 1040-7'!H9&gt;0,TRUE, FALSE)</f>
        <v>0</v>
      </c>
      <c r="BC54" s="974">
        <f>SUM(BC51:BC53)</f>
        <v>0</v>
      </c>
      <c r="BD54" s="978" t="s">
        <v>2071</v>
      </c>
      <c r="BE54" s="978"/>
      <c r="BF54" s="978"/>
      <c r="BG54" s="978"/>
      <c r="BH54" s="978"/>
      <c r="BI54" s="978"/>
      <c r="BJ54" s="978"/>
      <c r="BK54" s="978"/>
      <c r="BL54" s="978"/>
      <c r="BM54" s="978"/>
      <c r="BN54" s="978"/>
      <c r="BO54" s="978"/>
      <c r="BP54" s="978"/>
      <c r="BQ54" s="978"/>
      <c r="BR54" s="978"/>
      <c r="BS54" s="978"/>
      <c r="BT54" s="978"/>
      <c r="BU54" s="978"/>
      <c r="BV54" s="978"/>
      <c r="BW54" s="6"/>
    </row>
    <row r="55" spans="2:75" s="4" customFormat="1" ht="6" customHeight="1">
      <c r="D55" s="835"/>
      <c r="F55" s="1486"/>
      <c r="L55" s="6"/>
      <c r="P55" s="835"/>
      <c r="Q55" s="835"/>
      <c r="AY55" s="835"/>
      <c r="AZ55" s="835"/>
      <c r="BA55" s="835"/>
      <c r="BB55" s="835"/>
      <c r="BC55" s="835"/>
      <c r="BD55" s="39"/>
      <c r="BE55" s="1057"/>
      <c r="BF55" s="1057"/>
      <c r="BG55" s="1057"/>
      <c r="BH55" s="1057"/>
      <c r="BI55" s="1057"/>
      <c r="BJ55" s="1057"/>
      <c r="BK55" s="1057"/>
      <c r="BL55" s="1057"/>
      <c r="BM55" s="1057"/>
      <c r="BN55" s="1057"/>
      <c r="BO55" s="1057"/>
      <c r="BP55" s="1057"/>
      <c r="BQ55" s="1057"/>
      <c r="BR55" s="1057"/>
      <c r="BS55" s="1057"/>
      <c r="BT55" s="1057"/>
      <c r="BU55" s="1057"/>
      <c r="BV55" s="1057"/>
      <c r="BW55" s="6"/>
    </row>
    <row r="56" spans="2:75" s="4" customFormat="1" ht="14.1" customHeight="1" thickBot="1">
      <c r="B56" s="1603" t="s">
        <v>346</v>
      </c>
      <c r="C56" s="1603"/>
      <c r="D56" s="1603"/>
      <c r="E56" s="92">
        <f>E50+E53</f>
        <v>0</v>
      </c>
      <c r="F56" s="1486"/>
      <c r="G56" s="1693" t="s">
        <v>347</v>
      </c>
      <c r="H56" s="1693"/>
      <c r="I56" s="1693"/>
      <c r="J56" s="94">
        <f>+J50+J53</f>
        <v>0</v>
      </c>
      <c r="L56" s="6"/>
      <c r="N56" s="4" t="s">
        <v>346</v>
      </c>
      <c r="P56" s="835"/>
      <c r="Q56" s="835"/>
      <c r="R56" s="92"/>
      <c r="S56" s="93" t="s">
        <v>347</v>
      </c>
      <c r="U56" s="94"/>
      <c r="AY56" s="835"/>
      <c r="AZ56" s="835"/>
      <c r="BA56" s="835">
        <f>SUM(BA50:BA54)</f>
        <v>0</v>
      </c>
      <c r="BB56" s="835"/>
      <c r="BC56" s="974">
        <f>+BC50+BC53</f>
        <v>0</v>
      </c>
      <c r="BD56" s="978" t="s">
        <v>2072</v>
      </c>
      <c r="BE56" s="978"/>
      <c r="BF56" s="978"/>
      <c r="BG56" s="978"/>
      <c r="BH56" s="978"/>
      <c r="BI56" s="978"/>
      <c r="BJ56" s="978"/>
      <c r="BK56" s="978"/>
      <c r="BL56" s="978"/>
      <c r="BM56" s="978"/>
      <c r="BN56" s="978"/>
      <c r="BO56" s="978"/>
      <c r="BP56" s="978"/>
      <c r="BQ56" s="978"/>
      <c r="BR56" s="978"/>
      <c r="BS56" s="978"/>
      <c r="BT56" s="978"/>
      <c r="BU56" s="978"/>
      <c r="BV56" s="978"/>
      <c r="BW56" s="6"/>
    </row>
    <row r="57" spans="2:75" s="4" customFormat="1" ht="14.1" customHeight="1" thickTop="1">
      <c r="B57" s="1603" t="s">
        <v>348</v>
      </c>
      <c r="C57" s="1603"/>
      <c r="D57" s="1603"/>
      <c r="E57" s="12" t="s">
        <v>339</v>
      </c>
      <c r="F57" s="1486"/>
      <c r="G57" s="1693" t="s">
        <v>349</v>
      </c>
      <c r="H57" s="1693"/>
      <c r="I57" s="1693"/>
      <c r="J57" s="12" t="s">
        <v>340</v>
      </c>
      <c r="L57" s="6"/>
      <c r="N57" s="4" t="s">
        <v>348</v>
      </c>
      <c r="P57" s="835"/>
      <c r="Q57" s="835"/>
      <c r="R57" s="12" t="s">
        <v>339</v>
      </c>
      <c r="S57" s="93" t="s">
        <v>349</v>
      </c>
      <c r="U57" s="12" t="s">
        <v>340</v>
      </c>
      <c r="AY57" s="835"/>
      <c r="AZ57" s="835" t="e">
        <f>IF(AND(BB50=TRUE,BB51=FALSE,BB53=FALSE,BB54=FALSE),AZ61,IF(AND(BB50=FALSE,BB51=TRUE,BB53=FALSE,BB54=FALSE),AZ62,IF(AND(BB50=FALSE,BB51=TRUE,BB53=FALSE,BB54=TRUE),AZ63,IF(AND(BB50=FALSE,BB51=FALSE,BB53=TRUE,BB54=FALSE),AZ64,IF(AND(BB50=TRUE,BB51=TRUE,BB53=FALSE,BB54=FALSE),AZ65,IF(AND(BB50=TRUE,BB51=FALSE,BB53=TRUE,BB54=FALSE),AZ66,IF(AND(BB50=FALSE,BB51=TRUE,BB53=TRUE,BB54=FALSE),AZ67,IF(AND(BB50=FALSE,BB51=FALSE,BB53=TRUE,BB54=TRUE),AZ68,IF(AND(BB50=TRUE,BB51=TRUE,BB53=FALSE,BB54=TRUE),AZ69,IF(AND(BB50=TRUE,BB51=TRUE,BB53=TRUE,BB54=FALSE),AZ70,IF(AND(BB50=TRUE,BB51=FALSE,BB53=TRUE,BB54=TRUE),AZ71,IF(AND(BB50=FALSE,BB51=TRUE,BB53=TRUE,BB54=TRUE),AZ72,IF(AND(BB50=TRUE,BB51=TRUE,BB53=TRUE,BB54=TRUE),AZ73,””)))))))))))))</f>
        <v>#NAME?</v>
      </c>
      <c r="BA57" s="835" t="str">
        <f>IF(ISERROR(AZ57),"",AZ57)</f>
        <v/>
      </c>
      <c r="BB57" s="835"/>
      <c r="BC57" s="835"/>
      <c r="BD57" s="39"/>
      <c r="BE57" s="1057"/>
      <c r="BF57" s="1057"/>
      <c r="BG57" s="1057"/>
      <c r="BH57" s="1057"/>
      <c r="BI57" s="1057"/>
      <c r="BJ57" s="1057"/>
      <c r="BK57" s="1057"/>
      <c r="BL57" s="1057"/>
      <c r="BM57" s="1057"/>
      <c r="BN57" s="1057"/>
      <c r="BO57" s="1057"/>
      <c r="BP57" s="1057"/>
      <c r="BQ57" s="1057"/>
      <c r="BR57" s="1057"/>
      <c r="BS57" s="1057"/>
      <c r="BT57" s="1057"/>
      <c r="BU57" s="1057"/>
      <c r="BV57" s="1057"/>
      <c r="BW57" s="6"/>
    </row>
    <row r="58" spans="2:75" s="4" customFormat="1" ht="6" customHeight="1">
      <c r="D58" s="835"/>
      <c r="F58" s="1486"/>
      <c r="L58" s="6"/>
      <c r="P58" s="835"/>
      <c r="Q58" s="835"/>
      <c r="AY58" s="835"/>
      <c r="AZ58" s="835"/>
      <c r="BA58" s="835"/>
      <c r="BB58" s="835"/>
      <c r="BC58" s="835"/>
      <c r="BD58" s="39"/>
      <c r="BE58" s="1057"/>
      <c r="BF58" s="1057"/>
      <c r="BG58" s="1057"/>
      <c r="BH58" s="1057"/>
      <c r="BI58" s="1057"/>
      <c r="BJ58" s="1057"/>
      <c r="BK58" s="1057"/>
      <c r="BL58" s="1057"/>
      <c r="BM58" s="1057"/>
      <c r="BN58" s="1057"/>
      <c r="BO58" s="1057"/>
      <c r="BP58" s="1057"/>
      <c r="BQ58" s="1057"/>
      <c r="BR58" s="1057"/>
      <c r="BS58" s="1057"/>
      <c r="BT58" s="1057"/>
      <c r="BU58" s="1057"/>
      <c r="BV58" s="1057"/>
      <c r="BW58" s="6"/>
    </row>
    <row r="59" spans="2:75" s="4" customFormat="1" ht="14.1" customHeight="1" thickBot="1">
      <c r="B59" s="1603" t="s">
        <v>350</v>
      </c>
      <c r="C59" s="1603"/>
      <c r="D59" s="1603"/>
      <c r="E59" s="96">
        <f>IF(ISERROR(E50/E56),0,E50/E56)</f>
        <v>0</v>
      </c>
      <c r="F59" s="1486"/>
      <c r="G59" s="1693" t="s">
        <v>946</v>
      </c>
      <c r="H59" s="1693"/>
      <c r="I59" s="1693"/>
      <c r="J59" s="96">
        <f>IF(ISERROR(J50/J56),0,J50/J56)</f>
        <v>0</v>
      </c>
      <c r="L59" s="6"/>
      <c r="N59" s="4" t="s">
        <v>350</v>
      </c>
      <c r="P59" s="835"/>
      <c r="Q59" s="835"/>
      <c r="R59" s="96"/>
      <c r="S59" s="93" t="s">
        <v>946</v>
      </c>
      <c r="U59" s="97">
        <f>IF(J59="","",(J59))</f>
        <v>0</v>
      </c>
      <c r="AY59" s="835"/>
      <c r="AZ59" s="835"/>
      <c r="BA59" s="835"/>
      <c r="BB59" s="835"/>
      <c r="BC59" s="835"/>
      <c r="BD59" s="39"/>
      <c r="BE59" s="1057"/>
      <c r="BF59" s="1057"/>
      <c r="BG59" s="1057"/>
      <c r="BH59" s="1057"/>
      <c r="BI59" s="1057"/>
      <c r="BJ59" s="1057"/>
      <c r="BK59" s="1057"/>
      <c r="BL59" s="1057"/>
      <c r="BM59" s="1057"/>
      <c r="BN59" s="1057"/>
      <c r="BO59" s="1057"/>
      <c r="BP59" s="1057"/>
      <c r="BQ59" s="1057"/>
      <c r="BR59" s="1057"/>
      <c r="BS59" s="1057"/>
      <c r="BT59" s="1057"/>
      <c r="BU59" s="1057"/>
      <c r="BV59" s="1057"/>
      <c r="BW59" s="6"/>
    </row>
    <row r="60" spans="2:75" s="4" customFormat="1" ht="6" customHeight="1" thickTop="1">
      <c r="D60" s="835"/>
      <c r="E60" s="835"/>
      <c r="F60" s="1486"/>
      <c r="L60" s="6"/>
      <c r="P60" s="835"/>
      <c r="Q60" s="835"/>
      <c r="AY60" s="835"/>
      <c r="AZ60" s="835"/>
      <c r="BA60" s="835"/>
      <c r="BB60" s="835"/>
      <c r="BC60" s="835"/>
      <c r="BD60" s="39"/>
      <c r="BE60" s="1057"/>
      <c r="BF60" s="1057"/>
      <c r="BG60" s="1057"/>
      <c r="BH60" s="1057"/>
      <c r="BI60" s="1057"/>
      <c r="BJ60" s="1057"/>
      <c r="BK60" s="1057"/>
      <c r="BL60" s="1057"/>
      <c r="BM60" s="1057"/>
      <c r="BN60" s="1057"/>
      <c r="BO60" s="1057"/>
      <c r="BP60" s="1057"/>
      <c r="BQ60" s="1057"/>
      <c r="BR60" s="1057"/>
      <c r="BS60" s="1057"/>
      <c r="BT60" s="1057"/>
      <c r="BU60" s="1057"/>
      <c r="BV60" s="1057"/>
      <c r="BW60" s="6"/>
    </row>
    <row r="61" spans="2:75" ht="14.1" customHeight="1" thickBot="1">
      <c r="B61" s="1694" t="s">
        <v>945</v>
      </c>
      <c r="C61" s="1694"/>
      <c r="D61" s="1694"/>
      <c r="E61" s="1694"/>
      <c r="F61" s="1695">
        <f>IF(E59&lt;J59,E59,J59)</f>
        <v>0</v>
      </c>
      <c r="G61" s="1695"/>
      <c r="N61" s="4" t="s">
        <v>945</v>
      </c>
      <c r="S61" s="97">
        <f>IF(F61="","",(F61))</f>
        <v>0</v>
      </c>
      <c r="AZ61" s="859" t="s">
        <v>354</v>
      </c>
    </row>
    <row r="62" spans="2:75" ht="12" customHeight="1" thickTop="1">
      <c r="H62" s="8"/>
      <c r="S62" s="8"/>
      <c r="AZ62" s="859" t="s">
        <v>358</v>
      </c>
    </row>
    <row r="63" spans="2:75">
      <c r="J63" s="40"/>
      <c r="U63" s="40"/>
      <c r="V63" s="40"/>
      <c r="W63" s="40"/>
      <c r="X63" s="40"/>
      <c r="Y63" s="40"/>
      <c r="Z63" s="40"/>
      <c r="AA63" s="40"/>
      <c r="AB63" s="40"/>
      <c r="AC63" s="40"/>
      <c r="AD63" s="40"/>
      <c r="AE63" s="40"/>
      <c r="AZ63" s="859" t="s">
        <v>1931</v>
      </c>
    </row>
    <row r="64" spans="2:75">
      <c r="J64" s="40"/>
      <c r="U64" s="40"/>
      <c r="V64" s="40"/>
      <c r="W64" s="40"/>
      <c r="X64" s="40"/>
      <c r="Y64" s="40"/>
      <c r="Z64" s="40"/>
      <c r="AA64" s="40"/>
      <c r="AB64" s="40"/>
      <c r="AC64" s="40"/>
      <c r="AD64" s="40"/>
      <c r="AE64" s="40"/>
      <c r="AZ64" s="859" t="s">
        <v>1810</v>
      </c>
    </row>
    <row r="65" spans="1:75">
      <c r="J65" s="40"/>
      <c r="U65" s="40"/>
      <c r="V65" s="40"/>
      <c r="W65" s="40"/>
      <c r="X65" s="40"/>
      <c r="Y65" s="40"/>
      <c r="Z65" s="40"/>
      <c r="AA65" s="40"/>
      <c r="AB65" s="40"/>
      <c r="AC65" s="40"/>
      <c r="AD65" s="40"/>
      <c r="AE65" s="40"/>
      <c r="AZ65" s="859" t="s">
        <v>1932</v>
      </c>
    </row>
    <row r="66" spans="1:75">
      <c r="J66" s="40"/>
      <c r="U66" s="40"/>
      <c r="V66" s="40"/>
      <c r="W66" s="40"/>
      <c r="X66" s="40"/>
      <c r="Y66" s="40"/>
      <c r="Z66" s="40"/>
      <c r="AA66" s="40"/>
      <c r="AB66" s="40"/>
      <c r="AC66" s="40"/>
      <c r="AD66" s="40"/>
      <c r="AE66" s="40"/>
      <c r="AZ66" s="859" t="s">
        <v>1933</v>
      </c>
    </row>
    <row r="67" spans="1:75">
      <c r="J67" s="40"/>
      <c r="U67" s="40"/>
      <c r="V67" s="40"/>
      <c r="W67" s="40"/>
      <c r="X67" s="40"/>
      <c r="Y67" s="40"/>
      <c r="Z67" s="40"/>
      <c r="AA67" s="40"/>
      <c r="AB67" s="40"/>
      <c r="AC67" s="40"/>
      <c r="AD67" s="40"/>
      <c r="AE67" s="40"/>
      <c r="AZ67" s="859" t="s">
        <v>1934</v>
      </c>
    </row>
    <row r="68" spans="1:75" s="4" customFormat="1">
      <c r="D68" s="835"/>
      <c r="E68" s="835"/>
      <c r="F68" s="1482"/>
      <c r="L68" s="6"/>
      <c r="P68" s="835"/>
      <c r="Q68" s="835"/>
      <c r="AY68" s="835"/>
      <c r="AZ68" s="859" t="s">
        <v>1935</v>
      </c>
      <c r="BA68" s="40"/>
      <c r="BB68" s="835"/>
      <c r="BC68" s="835"/>
      <c r="BD68" s="39"/>
      <c r="BE68" s="1057"/>
      <c r="BF68" s="1057"/>
      <c r="BG68" s="1057"/>
      <c r="BH68" s="1057"/>
      <c r="BI68" s="1057"/>
      <c r="BJ68" s="1057"/>
      <c r="BK68" s="1057"/>
      <c r="BL68" s="1057"/>
      <c r="BM68" s="1057"/>
      <c r="BN68" s="1057"/>
      <c r="BO68" s="1057"/>
      <c r="BP68" s="1057"/>
      <c r="BQ68" s="1057"/>
      <c r="BR68" s="1057"/>
      <c r="BS68" s="1057"/>
      <c r="BT68" s="1057"/>
      <c r="BU68" s="1057"/>
      <c r="BV68" s="1057"/>
      <c r="BW68" s="6"/>
    </row>
    <row r="69" spans="1:75">
      <c r="J69" s="40"/>
      <c r="U69" s="40"/>
      <c r="V69" s="40"/>
      <c r="W69" s="40"/>
      <c r="X69" s="40"/>
      <c r="Y69" s="40"/>
      <c r="Z69" s="40"/>
      <c r="AA69" s="40"/>
      <c r="AB69" s="40"/>
      <c r="AC69" s="40"/>
      <c r="AD69" s="40"/>
      <c r="AE69" s="40"/>
      <c r="AZ69" s="859" t="s">
        <v>1936</v>
      </c>
    </row>
    <row r="70" spans="1:75" s="98" customFormat="1">
      <c r="A70" s="8"/>
      <c r="B70" s="8"/>
      <c r="C70" s="8"/>
      <c r="D70" s="836"/>
      <c r="E70" s="836"/>
      <c r="F70" s="1481"/>
      <c r="G70" s="8"/>
      <c r="H70" s="8"/>
      <c r="I70" s="8"/>
      <c r="L70" s="99"/>
      <c r="M70" s="8"/>
      <c r="N70" s="8"/>
      <c r="O70" s="8"/>
      <c r="P70" s="836"/>
      <c r="Q70" s="836"/>
      <c r="R70" s="8"/>
      <c r="S70" s="8"/>
      <c r="T70" s="8"/>
      <c r="AZ70" s="862" t="s">
        <v>1937</v>
      </c>
      <c r="BA70" s="40"/>
      <c r="BD70" s="262"/>
      <c r="BE70" s="262"/>
      <c r="BF70" s="262"/>
      <c r="BG70" s="262"/>
      <c r="BH70" s="262"/>
      <c r="BI70" s="262"/>
      <c r="BJ70" s="262"/>
      <c r="BK70" s="262"/>
      <c r="BL70" s="262"/>
      <c r="BM70" s="262"/>
      <c r="BN70" s="262"/>
      <c r="BO70" s="262"/>
      <c r="BP70" s="262"/>
      <c r="BQ70" s="262"/>
      <c r="BR70" s="262"/>
      <c r="BS70" s="262"/>
      <c r="BT70" s="262"/>
      <c r="BU70" s="262"/>
      <c r="BV70" s="262"/>
      <c r="BW70" s="99"/>
    </row>
    <row r="71" spans="1:75">
      <c r="J71" s="40"/>
      <c r="U71" s="40"/>
      <c r="V71" s="40"/>
      <c r="W71" s="40"/>
      <c r="X71" s="40"/>
      <c r="Y71" s="40"/>
      <c r="Z71" s="40"/>
      <c r="AA71" s="40"/>
      <c r="AB71" s="40"/>
      <c r="AC71" s="40"/>
      <c r="AD71" s="40"/>
      <c r="AE71" s="40"/>
      <c r="AZ71" s="859" t="s">
        <v>1938</v>
      </c>
    </row>
    <row r="72" spans="1:75">
      <c r="J72" s="40"/>
      <c r="U72" s="40"/>
      <c r="V72" s="40"/>
      <c r="W72" s="40"/>
      <c r="X72" s="40"/>
      <c r="Y72" s="40"/>
      <c r="Z72" s="40"/>
      <c r="AA72" s="40"/>
      <c r="AB72" s="40"/>
      <c r="AC72" s="40"/>
      <c r="AD72" s="40"/>
      <c r="AE72" s="40"/>
      <c r="AZ72" s="859" t="s">
        <v>1939</v>
      </c>
    </row>
    <row r="73" spans="1:75" ht="20.100000000000001" customHeight="1">
      <c r="J73" s="40"/>
      <c r="U73" s="40"/>
      <c r="V73" s="40"/>
      <c r="W73" s="40"/>
      <c r="X73" s="40"/>
      <c r="Y73" s="40"/>
      <c r="Z73" s="40"/>
      <c r="AA73" s="40"/>
      <c r="AB73" s="40"/>
      <c r="AC73" s="40"/>
      <c r="AD73" s="40"/>
      <c r="AE73" s="40"/>
      <c r="AZ73" s="859" t="s">
        <v>1940</v>
      </c>
    </row>
    <row r="74" spans="1:75" ht="20.100000000000001" customHeight="1">
      <c r="J74" s="40"/>
      <c r="U74" s="40"/>
      <c r="V74" s="40"/>
      <c r="W74" s="40"/>
      <c r="X74" s="40"/>
      <c r="Y74" s="40"/>
      <c r="Z74" s="40"/>
      <c r="AA74" s="40"/>
      <c r="AB74" s="40"/>
      <c r="AC74" s="40"/>
      <c r="AD74" s="40"/>
      <c r="AE74" s="40"/>
    </row>
    <row r="75" spans="1:75" ht="20.100000000000001" customHeight="1">
      <c r="J75" s="40"/>
      <c r="U75" s="40"/>
      <c r="V75" s="40"/>
      <c r="W75" s="40"/>
      <c r="X75" s="40"/>
      <c r="Y75" s="40"/>
      <c r="Z75" s="40"/>
      <c r="AA75" s="40"/>
      <c r="AB75" s="40"/>
      <c r="AC75" s="40"/>
      <c r="AD75" s="40"/>
      <c r="AE75" s="40"/>
    </row>
    <row r="76" spans="1:75" ht="20.100000000000001" customHeight="1">
      <c r="J76" s="40"/>
      <c r="U76" s="40"/>
      <c r="V76" s="40"/>
      <c r="W76" s="40"/>
      <c r="X76" s="40"/>
      <c r="Y76" s="40"/>
      <c r="Z76" s="40"/>
      <c r="AA76" s="40"/>
      <c r="AB76" s="40"/>
      <c r="AC76" s="40"/>
      <c r="AD76" s="40"/>
      <c r="AE76" s="40"/>
    </row>
    <row r="77" spans="1:75" ht="20.100000000000001" customHeight="1">
      <c r="J77" s="40"/>
      <c r="U77" s="40"/>
      <c r="V77" s="40"/>
      <c r="W77" s="40"/>
      <c r="X77" s="40"/>
      <c r="Y77" s="40"/>
      <c r="Z77" s="40"/>
      <c r="AA77" s="40"/>
      <c r="AB77" s="40"/>
      <c r="AC77" s="40"/>
      <c r="AD77" s="40"/>
      <c r="AE77" s="40"/>
    </row>
    <row r="78" spans="1:75" ht="20.100000000000001" customHeight="1">
      <c r="J78" s="40"/>
      <c r="U78" s="40"/>
      <c r="V78" s="40"/>
      <c r="W78" s="40"/>
      <c r="X78" s="40"/>
      <c r="Y78" s="40"/>
      <c r="Z78" s="40"/>
      <c r="AA78" s="40"/>
      <c r="AB78" s="40"/>
      <c r="AC78" s="40"/>
      <c r="AD78" s="40"/>
      <c r="AE78" s="40"/>
    </row>
    <row r="79" spans="1:75" ht="20.100000000000001" customHeight="1">
      <c r="J79" s="40"/>
      <c r="U79" s="40"/>
      <c r="V79" s="40"/>
      <c r="W79" s="40"/>
      <c r="X79" s="40"/>
      <c r="Y79" s="40"/>
      <c r="Z79" s="40"/>
      <c r="AA79" s="40"/>
      <c r="AB79" s="40"/>
      <c r="AC79" s="40"/>
      <c r="AD79" s="40"/>
      <c r="AE79" s="40"/>
    </row>
    <row r="80" spans="1:75" ht="20.100000000000001" customHeight="1">
      <c r="J80" s="40"/>
      <c r="U80" s="40"/>
      <c r="V80" s="40"/>
      <c r="W80" s="40"/>
      <c r="X80" s="40"/>
      <c r="Y80" s="40"/>
      <c r="Z80" s="40"/>
      <c r="AA80" s="40"/>
      <c r="AB80" s="40"/>
      <c r="AC80" s="40"/>
      <c r="AD80" s="40"/>
      <c r="AE80" s="40"/>
    </row>
    <row r="81" spans="10:31" ht="20.100000000000001" customHeight="1">
      <c r="J81" s="40"/>
      <c r="U81" s="40"/>
      <c r="V81" s="40"/>
      <c r="W81" s="40"/>
      <c r="X81" s="40"/>
      <c r="Y81" s="40"/>
      <c r="Z81" s="40"/>
      <c r="AA81" s="40"/>
      <c r="AB81" s="40"/>
      <c r="AC81" s="40"/>
      <c r="AD81" s="40"/>
      <c r="AE81" s="40"/>
    </row>
    <row r="82" spans="10:31" ht="20.100000000000001" customHeight="1">
      <c r="J82" s="40"/>
      <c r="U82" s="40"/>
      <c r="V82" s="40"/>
      <c r="W82" s="40"/>
      <c r="X82" s="40"/>
      <c r="Y82" s="40"/>
      <c r="Z82" s="40"/>
      <c r="AA82" s="40"/>
      <c r="AB82" s="40"/>
      <c r="AC82" s="40"/>
      <c r="AD82" s="40"/>
      <c r="AE82" s="40"/>
    </row>
    <row r="83" spans="10:31" ht="20.100000000000001" customHeight="1">
      <c r="J83" s="40"/>
      <c r="U83" s="40"/>
      <c r="V83" s="40"/>
      <c r="W83" s="40"/>
      <c r="X83" s="40"/>
      <c r="Y83" s="40"/>
      <c r="Z83" s="40"/>
      <c r="AA83" s="40"/>
      <c r="AB83" s="40"/>
      <c r="AC83" s="40"/>
      <c r="AD83" s="40"/>
      <c r="AE83" s="40"/>
    </row>
    <row r="84" spans="10:31" ht="20.100000000000001" customHeight="1">
      <c r="J84" s="40"/>
      <c r="U84" s="40"/>
      <c r="V84" s="40"/>
      <c r="W84" s="40"/>
      <c r="X84" s="40"/>
      <c r="Y84" s="40"/>
      <c r="Z84" s="40"/>
      <c r="AA84" s="40"/>
      <c r="AB84" s="40"/>
      <c r="AC84" s="40"/>
      <c r="AD84" s="40"/>
      <c r="AE84" s="40"/>
    </row>
    <row r="85" spans="10:31" ht="20.100000000000001" customHeight="1">
      <c r="J85" s="40"/>
      <c r="U85" s="40"/>
      <c r="V85" s="40"/>
      <c r="W85" s="40"/>
      <c r="X85" s="40"/>
      <c r="Y85" s="40"/>
      <c r="Z85" s="40"/>
      <c r="AA85" s="40"/>
      <c r="AB85" s="40"/>
      <c r="AC85" s="40"/>
      <c r="AD85" s="40"/>
      <c r="AE85" s="40"/>
    </row>
    <row r="86" spans="10:31" ht="20.100000000000001" customHeight="1">
      <c r="J86" s="40"/>
      <c r="U86" s="40"/>
      <c r="V86" s="40"/>
      <c r="W86" s="40"/>
      <c r="X86" s="40"/>
      <c r="Y86" s="40"/>
      <c r="Z86" s="40"/>
      <c r="AA86" s="40"/>
      <c r="AB86" s="40"/>
      <c r="AC86" s="40"/>
      <c r="AD86" s="40"/>
      <c r="AE86" s="40"/>
    </row>
    <row r="87" spans="10:31" ht="20.100000000000001" customHeight="1">
      <c r="J87" s="40"/>
      <c r="U87" s="40"/>
      <c r="V87" s="40"/>
      <c r="W87" s="40"/>
      <c r="X87" s="40"/>
      <c r="Y87" s="40"/>
      <c r="Z87" s="40"/>
      <c r="AA87" s="40"/>
      <c r="AB87" s="40"/>
      <c r="AC87" s="40"/>
      <c r="AD87" s="40"/>
      <c r="AE87" s="40"/>
    </row>
    <row r="88" spans="10:31" ht="20.100000000000001" customHeight="1">
      <c r="J88" s="40"/>
      <c r="U88" s="40"/>
      <c r="V88" s="40"/>
      <c r="W88" s="40"/>
      <c r="X88" s="40"/>
      <c r="Y88" s="40"/>
      <c r="Z88" s="40"/>
      <c r="AA88" s="40"/>
      <c r="AB88" s="40"/>
      <c r="AC88" s="40"/>
      <c r="AD88" s="40"/>
      <c r="AE88" s="40"/>
    </row>
    <row r="89" spans="10:31" ht="20.100000000000001" customHeight="1">
      <c r="J89" s="40"/>
      <c r="U89" s="40"/>
      <c r="V89" s="40"/>
      <c r="W89" s="40"/>
      <c r="X89" s="40"/>
      <c r="Y89" s="40"/>
      <c r="Z89" s="40"/>
      <c r="AA89" s="40"/>
      <c r="AB89" s="40"/>
      <c r="AC89" s="40"/>
      <c r="AD89" s="40"/>
      <c r="AE89" s="40"/>
    </row>
    <row r="90" spans="10:31" ht="20.100000000000001" customHeight="1">
      <c r="J90" s="40"/>
      <c r="U90" s="40"/>
      <c r="V90" s="40"/>
      <c r="W90" s="40"/>
      <c r="X90" s="40"/>
      <c r="Y90" s="40"/>
      <c r="Z90" s="40"/>
      <c r="AA90" s="40"/>
      <c r="AB90" s="40"/>
      <c r="AC90" s="40"/>
      <c r="AD90" s="40"/>
      <c r="AE90" s="40"/>
    </row>
    <row r="91" spans="10:31" ht="20.100000000000001" customHeight="1">
      <c r="J91" s="40"/>
      <c r="U91" s="40"/>
      <c r="V91" s="40"/>
      <c r="W91" s="40"/>
      <c r="X91" s="40"/>
      <c r="Y91" s="40"/>
      <c r="Z91" s="40"/>
      <c r="AA91" s="40"/>
      <c r="AB91" s="40"/>
      <c r="AC91" s="40"/>
      <c r="AD91" s="40"/>
      <c r="AE91" s="40"/>
    </row>
    <row r="92" spans="10:31" ht="20.100000000000001" customHeight="1">
      <c r="J92" s="40"/>
      <c r="U92" s="40"/>
      <c r="V92" s="40"/>
      <c r="W92" s="40"/>
      <c r="X92" s="40"/>
      <c r="Y92" s="40"/>
      <c r="Z92" s="40"/>
      <c r="AA92" s="40"/>
      <c r="AB92" s="40"/>
      <c r="AC92" s="40"/>
      <c r="AD92" s="40"/>
      <c r="AE92" s="40"/>
    </row>
    <row r="93" spans="10:31" ht="20.100000000000001" customHeight="1">
      <c r="J93" s="40"/>
      <c r="U93" s="40"/>
      <c r="V93" s="40"/>
      <c r="W93" s="40"/>
      <c r="X93" s="40"/>
      <c r="Y93" s="40"/>
      <c r="Z93" s="40"/>
      <c r="AA93" s="40"/>
      <c r="AB93" s="40"/>
      <c r="AC93" s="40"/>
      <c r="AD93" s="40"/>
      <c r="AE93" s="40"/>
    </row>
    <row r="94" spans="10:31" ht="20.100000000000001" customHeight="1">
      <c r="J94" s="40"/>
      <c r="U94" s="40"/>
      <c r="V94" s="40"/>
      <c r="W94" s="40"/>
      <c r="X94" s="40"/>
      <c r="Y94" s="40"/>
      <c r="Z94" s="40"/>
      <c r="AA94" s="40"/>
      <c r="AB94" s="40"/>
      <c r="AC94" s="40"/>
      <c r="AD94" s="40"/>
      <c r="AE94" s="40"/>
    </row>
    <row r="95" spans="10:31" ht="20.100000000000001" customHeight="1">
      <c r="J95" s="40"/>
      <c r="U95" s="40"/>
      <c r="V95" s="40"/>
      <c r="W95" s="40"/>
      <c r="X95" s="40"/>
      <c r="Y95" s="40"/>
      <c r="Z95" s="40"/>
      <c r="AA95" s="40"/>
      <c r="AB95" s="40"/>
      <c r="AC95" s="40"/>
      <c r="AD95" s="40"/>
      <c r="AE95" s="40"/>
    </row>
    <row r="96" spans="10:31" ht="20.100000000000001" customHeight="1">
      <c r="J96" s="40"/>
      <c r="U96" s="40"/>
      <c r="V96" s="40"/>
      <c r="W96" s="40"/>
      <c r="X96" s="40"/>
      <c r="Y96" s="40"/>
      <c r="Z96" s="40"/>
      <c r="AA96" s="40"/>
      <c r="AB96" s="40"/>
      <c r="AC96" s="40"/>
      <c r="AD96" s="40"/>
      <c r="AE96" s="40"/>
    </row>
    <row r="97" spans="1:75" ht="20.100000000000001" customHeight="1">
      <c r="J97" s="40"/>
      <c r="U97" s="40"/>
      <c r="V97" s="40"/>
      <c r="W97" s="40"/>
      <c r="X97" s="40"/>
      <c r="Y97" s="40"/>
      <c r="Z97" s="40"/>
      <c r="AA97" s="40"/>
      <c r="AB97" s="40"/>
      <c r="AC97" s="40"/>
      <c r="AD97" s="40"/>
      <c r="AE97" s="40"/>
    </row>
    <row r="98" spans="1:75" ht="20.100000000000001" customHeight="1">
      <c r="J98" s="40"/>
      <c r="U98" s="40"/>
      <c r="V98" s="40"/>
      <c r="W98" s="40"/>
      <c r="X98" s="40"/>
      <c r="Y98" s="40"/>
      <c r="Z98" s="40"/>
      <c r="AA98" s="40"/>
      <c r="AB98" s="40"/>
      <c r="AC98" s="40"/>
      <c r="AD98" s="40"/>
      <c r="AE98" s="40"/>
    </row>
    <row r="99" spans="1:75" ht="20.100000000000001" customHeight="1">
      <c r="J99" s="40"/>
      <c r="U99" s="40"/>
      <c r="V99" s="40"/>
      <c r="W99" s="40"/>
      <c r="X99" s="40"/>
      <c r="Y99" s="40"/>
      <c r="Z99" s="40"/>
      <c r="AA99" s="40"/>
      <c r="AB99" s="40"/>
      <c r="AC99" s="40"/>
      <c r="AD99" s="40"/>
      <c r="AE99" s="40"/>
    </row>
    <row r="100" spans="1:75" ht="20.100000000000001" customHeight="1">
      <c r="J100" s="40"/>
      <c r="U100" s="40"/>
      <c r="V100" s="40"/>
      <c r="W100" s="40"/>
      <c r="X100" s="40"/>
      <c r="Y100" s="40"/>
      <c r="Z100" s="40"/>
      <c r="AA100" s="40"/>
      <c r="AB100" s="40"/>
      <c r="AC100" s="40"/>
      <c r="AD100" s="40"/>
      <c r="AE100" s="40"/>
    </row>
    <row r="101" spans="1:75" ht="20.100000000000001" customHeight="1">
      <c r="J101" s="40"/>
      <c r="U101" s="40"/>
      <c r="V101" s="40"/>
      <c r="W101" s="40"/>
      <c r="X101" s="40"/>
      <c r="Y101" s="40"/>
      <c r="Z101" s="40"/>
      <c r="AA101" s="40"/>
      <c r="AB101" s="40"/>
      <c r="AC101" s="40"/>
      <c r="AD101" s="40"/>
      <c r="AE101" s="40"/>
    </row>
    <row r="102" spans="1:75" ht="20.100000000000001" customHeight="1">
      <c r="J102" s="40"/>
      <c r="U102" s="40"/>
      <c r="V102" s="40"/>
      <c r="W102" s="40"/>
      <c r="X102" s="40"/>
      <c r="Y102" s="40"/>
      <c r="Z102" s="40"/>
      <c r="AA102" s="40"/>
      <c r="AB102" s="40"/>
      <c r="AC102" s="40"/>
      <c r="AD102" s="40"/>
      <c r="AE102" s="40"/>
    </row>
    <row r="103" spans="1:75" ht="20.100000000000001" customHeight="1">
      <c r="J103" s="40"/>
      <c r="U103" s="40"/>
      <c r="V103" s="40"/>
      <c r="W103" s="40"/>
      <c r="X103" s="40"/>
      <c r="Y103" s="40"/>
      <c r="Z103" s="40"/>
      <c r="AA103" s="40"/>
      <c r="AB103" s="40"/>
      <c r="AC103" s="40"/>
      <c r="AD103" s="40"/>
      <c r="AE103" s="40"/>
    </row>
    <row r="104" spans="1:75" ht="20.100000000000001" customHeight="1">
      <c r="J104" s="40"/>
      <c r="U104" s="40"/>
      <c r="V104" s="40"/>
      <c r="W104" s="40"/>
      <c r="X104" s="40"/>
      <c r="Y104" s="40"/>
      <c r="Z104" s="40"/>
      <c r="AA104" s="40"/>
      <c r="AB104" s="40"/>
      <c r="AC104" s="40"/>
      <c r="AD104" s="40"/>
      <c r="AE104" s="40"/>
    </row>
    <row r="105" spans="1:75">
      <c r="J105" s="40"/>
      <c r="U105" s="40"/>
      <c r="V105" s="40"/>
      <c r="W105" s="40"/>
      <c r="X105" s="40"/>
      <c r="Y105" s="40"/>
      <c r="Z105" s="40"/>
      <c r="AA105" s="40"/>
      <c r="AB105" s="40"/>
      <c r="AC105" s="40"/>
      <c r="AD105" s="40"/>
      <c r="AE105" s="40"/>
    </row>
    <row r="106" spans="1:75" s="98" customFormat="1">
      <c r="A106" s="8"/>
      <c r="B106" s="8"/>
      <c r="C106" s="8"/>
      <c r="D106" s="836"/>
      <c r="E106" s="836"/>
      <c r="F106" s="1481"/>
      <c r="G106" s="8"/>
      <c r="H106" s="8"/>
      <c r="I106" s="8"/>
      <c r="L106" s="99"/>
      <c r="M106" s="8"/>
      <c r="N106" s="8"/>
      <c r="O106" s="8"/>
      <c r="P106" s="836"/>
      <c r="Q106" s="836"/>
      <c r="R106" s="8"/>
      <c r="S106" s="8"/>
      <c r="T106" s="8"/>
      <c r="BD106" s="262"/>
      <c r="BE106" s="262"/>
      <c r="BF106" s="262"/>
      <c r="BG106" s="262"/>
      <c r="BH106" s="262"/>
      <c r="BI106" s="262"/>
      <c r="BJ106" s="262"/>
      <c r="BK106" s="262"/>
      <c r="BL106" s="262"/>
      <c r="BM106" s="262"/>
      <c r="BN106" s="262"/>
      <c r="BO106" s="262"/>
      <c r="BP106" s="262"/>
      <c r="BQ106" s="262"/>
      <c r="BR106" s="262"/>
      <c r="BS106" s="262"/>
      <c r="BT106" s="262"/>
      <c r="BU106" s="262"/>
      <c r="BV106" s="262"/>
      <c r="BW106" s="99"/>
    </row>
    <row r="107" spans="1:75" s="98" customFormat="1">
      <c r="A107" s="8"/>
      <c r="B107" s="8"/>
      <c r="C107" s="8"/>
      <c r="D107" s="836"/>
      <c r="E107" s="836"/>
      <c r="F107" s="1481"/>
      <c r="G107" s="8"/>
      <c r="H107" s="8"/>
      <c r="I107" s="8"/>
      <c r="L107" s="99"/>
      <c r="M107" s="8"/>
      <c r="N107" s="8"/>
      <c r="O107" s="8"/>
      <c r="P107" s="836"/>
      <c r="Q107" s="836"/>
      <c r="R107" s="8"/>
      <c r="S107" s="8"/>
      <c r="T107" s="8"/>
      <c r="BD107" s="262"/>
      <c r="BE107" s="262"/>
      <c r="BF107" s="262"/>
      <c r="BG107" s="262"/>
      <c r="BH107" s="262"/>
      <c r="BI107" s="262"/>
      <c r="BJ107" s="262"/>
      <c r="BK107" s="262"/>
      <c r="BL107" s="262"/>
      <c r="BM107" s="262"/>
      <c r="BN107" s="262"/>
      <c r="BO107" s="262"/>
      <c r="BP107" s="262"/>
      <c r="BQ107" s="262"/>
      <c r="BR107" s="262"/>
      <c r="BS107" s="262"/>
      <c r="BT107" s="262"/>
      <c r="BU107" s="262"/>
      <c r="BV107" s="262"/>
      <c r="BW107" s="99"/>
    </row>
    <row r="108" spans="1:75" s="4" customFormat="1">
      <c r="D108" s="835"/>
      <c r="E108" s="835"/>
      <c r="F108" s="1482"/>
      <c r="L108" s="6"/>
      <c r="P108" s="835"/>
      <c r="Q108" s="835"/>
      <c r="AY108" s="835"/>
      <c r="AZ108" s="835"/>
      <c r="BA108" s="835"/>
      <c r="BB108" s="835"/>
      <c r="BC108" s="835"/>
      <c r="BD108" s="39"/>
      <c r="BE108" s="1057"/>
      <c r="BF108" s="1057"/>
      <c r="BG108" s="1057"/>
      <c r="BH108" s="1057"/>
      <c r="BI108" s="1057"/>
      <c r="BJ108" s="1057"/>
      <c r="BK108" s="1057"/>
      <c r="BL108" s="1057"/>
      <c r="BM108" s="1057"/>
      <c r="BN108" s="1057"/>
      <c r="BO108" s="1057"/>
      <c r="BP108" s="1057"/>
      <c r="BQ108" s="1057"/>
      <c r="BR108" s="1057"/>
      <c r="BS108" s="1057"/>
      <c r="BT108" s="1057"/>
      <c r="BU108" s="1057"/>
      <c r="BV108" s="1057"/>
      <c r="BW108" s="6"/>
    </row>
    <row r="109" spans="1:75">
      <c r="J109" s="40"/>
      <c r="U109" s="40"/>
      <c r="V109" s="40"/>
      <c r="W109" s="40"/>
      <c r="X109" s="40"/>
      <c r="Y109" s="40"/>
      <c r="Z109" s="40"/>
      <c r="AA109" s="40"/>
      <c r="AB109" s="40"/>
      <c r="AC109" s="40"/>
      <c r="AD109" s="40"/>
      <c r="AE109" s="40"/>
    </row>
    <row r="110" spans="1:75" s="98" customFormat="1">
      <c r="A110" s="8"/>
      <c r="B110" s="8"/>
      <c r="C110" s="8"/>
      <c r="D110" s="836"/>
      <c r="E110" s="836"/>
      <c r="F110" s="1481"/>
      <c r="G110" s="8"/>
      <c r="H110" s="8"/>
      <c r="I110" s="8"/>
      <c r="L110" s="99"/>
      <c r="M110" s="8"/>
      <c r="N110" s="8"/>
      <c r="O110" s="8"/>
      <c r="P110" s="836"/>
      <c r="Q110" s="836"/>
      <c r="R110" s="8"/>
      <c r="S110" s="8"/>
      <c r="T110" s="8"/>
      <c r="BD110" s="262"/>
      <c r="BE110" s="262"/>
      <c r="BF110" s="262"/>
      <c r="BG110" s="262"/>
      <c r="BH110" s="262"/>
      <c r="BI110" s="262"/>
      <c r="BJ110" s="262"/>
      <c r="BK110" s="262"/>
      <c r="BL110" s="262"/>
      <c r="BM110" s="262"/>
      <c r="BN110" s="262"/>
      <c r="BO110" s="262"/>
      <c r="BP110" s="262"/>
      <c r="BQ110" s="262"/>
      <c r="BR110" s="262"/>
      <c r="BS110" s="262"/>
      <c r="BT110" s="262"/>
      <c r="BU110" s="262"/>
      <c r="BV110" s="262"/>
      <c r="BW110" s="99"/>
    </row>
    <row r="111" spans="1:75">
      <c r="J111" s="40"/>
      <c r="U111" s="40"/>
      <c r="V111" s="40"/>
      <c r="W111" s="40"/>
      <c r="X111" s="40"/>
      <c r="Y111" s="40"/>
      <c r="Z111" s="40"/>
      <c r="AA111" s="40"/>
      <c r="AB111" s="40"/>
      <c r="AC111" s="40"/>
      <c r="AD111" s="40"/>
      <c r="AE111" s="40"/>
    </row>
    <row r="112" spans="1:75">
      <c r="J112" s="40"/>
      <c r="U112" s="40"/>
      <c r="V112" s="40"/>
      <c r="W112" s="40"/>
      <c r="X112" s="40"/>
      <c r="Y112" s="40"/>
      <c r="Z112" s="40"/>
      <c r="AA112" s="40"/>
      <c r="AB112" s="40"/>
      <c r="AC112" s="40"/>
      <c r="AD112" s="40"/>
      <c r="AE112" s="40"/>
    </row>
    <row r="113" spans="1:75" s="98" customFormat="1" ht="20.100000000000001" customHeight="1">
      <c r="A113" s="8"/>
      <c r="B113" s="8"/>
      <c r="C113" s="8"/>
      <c r="D113" s="836"/>
      <c r="E113" s="836"/>
      <c r="F113" s="1481"/>
      <c r="G113" s="8"/>
      <c r="H113" s="8"/>
      <c r="I113" s="8"/>
      <c r="L113" s="99"/>
      <c r="M113" s="8"/>
      <c r="N113" s="8"/>
      <c r="O113" s="8"/>
      <c r="P113" s="836"/>
      <c r="Q113" s="836"/>
      <c r="R113" s="8"/>
      <c r="S113" s="8"/>
      <c r="T113" s="8"/>
      <c r="BD113" s="262"/>
      <c r="BE113" s="262"/>
      <c r="BF113" s="262"/>
      <c r="BG113" s="262"/>
      <c r="BH113" s="262"/>
      <c r="BI113" s="262"/>
      <c r="BJ113" s="262"/>
      <c r="BK113" s="262"/>
      <c r="BL113" s="262"/>
      <c r="BM113" s="262"/>
      <c r="BN113" s="262"/>
      <c r="BO113" s="262"/>
      <c r="BP113" s="262"/>
      <c r="BQ113" s="262"/>
      <c r="BR113" s="262"/>
      <c r="BS113" s="262"/>
      <c r="BT113" s="262"/>
      <c r="BU113" s="262"/>
      <c r="BV113" s="262"/>
      <c r="BW113" s="99"/>
    </row>
    <row r="114" spans="1:75" ht="20.100000000000001" customHeight="1">
      <c r="J114" s="40"/>
      <c r="U114" s="40"/>
      <c r="V114" s="40"/>
      <c r="W114" s="40"/>
      <c r="X114" s="40"/>
      <c r="Y114" s="40"/>
      <c r="Z114" s="40"/>
      <c r="AA114" s="40"/>
      <c r="AB114" s="40"/>
      <c r="AC114" s="40"/>
      <c r="AD114" s="40"/>
      <c r="AE114" s="40"/>
    </row>
    <row r="115" spans="1:75" ht="20.100000000000001" customHeight="1">
      <c r="J115" s="40"/>
      <c r="U115" s="40"/>
      <c r="V115" s="40"/>
      <c r="W115" s="40"/>
      <c r="X115" s="40"/>
      <c r="Y115" s="40"/>
      <c r="Z115" s="40"/>
      <c r="AA115" s="40"/>
      <c r="AB115" s="40"/>
      <c r="AC115" s="40"/>
      <c r="AD115" s="40"/>
      <c r="AE115" s="40"/>
    </row>
    <row r="116" spans="1:75" ht="20.100000000000001" customHeight="1">
      <c r="J116" s="40"/>
      <c r="U116" s="40"/>
      <c r="V116" s="40"/>
      <c r="W116" s="40"/>
      <c r="X116" s="40"/>
      <c r="Y116" s="40"/>
      <c r="Z116" s="40"/>
      <c r="AA116" s="40"/>
      <c r="AB116" s="40"/>
      <c r="AC116" s="40"/>
      <c r="AD116" s="40"/>
      <c r="AE116" s="40"/>
    </row>
    <row r="117" spans="1:75" ht="20.100000000000001" customHeight="1">
      <c r="J117" s="40"/>
      <c r="U117" s="40"/>
      <c r="V117" s="40"/>
      <c r="W117" s="40"/>
      <c r="X117" s="40"/>
      <c r="Y117" s="40"/>
      <c r="Z117" s="40"/>
      <c r="AA117" s="40"/>
      <c r="AB117" s="40"/>
      <c r="AC117" s="40"/>
      <c r="AD117" s="40"/>
      <c r="AE117" s="40"/>
    </row>
    <row r="118" spans="1:75" ht="20.100000000000001" customHeight="1">
      <c r="J118" s="40"/>
      <c r="U118" s="40"/>
      <c r="V118" s="40"/>
      <c r="W118" s="40"/>
      <c r="X118" s="40"/>
      <c r="Y118" s="40"/>
      <c r="Z118" s="40"/>
      <c r="AA118" s="40"/>
      <c r="AB118" s="40"/>
      <c r="AC118" s="40"/>
      <c r="AD118" s="40"/>
      <c r="AE118" s="40"/>
    </row>
    <row r="119" spans="1:75" ht="20.100000000000001" customHeight="1">
      <c r="J119" s="40"/>
      <c r="U119" s="40"/>
      <c r="V119" s="40"/>
      <c r="W119" s="40"/>
      <c r="X119" s="40"/>
      <c r="Y119" s="40"/>
      <c r="Z119" s="40"/>
      <c r="AA119" s="40"/>
      <c r="AB119" s="40"/>
      <c r="AC119" s="40"/>
      <c r="AD119" s="40"/>
      <c r="AE119" s="40"/>
    </row>
    <row r="120" spans="1:75" ht="20.100000000000001" customHeight="1">
      <c r="J120" s="40"/>
      <c r="U120" s="40"/>
      <c r="V120" s="40"/>
      <c r="W120" s="40"/>
      <c r="X120" s="40"/>
      <c r="Y120" s="40"/>
      <c r="Z120" s="40"/>
      <c r="AA120" s="40"/>
      <c r="AB120" s="40"/>
      <c r="AC120" s="40"/>
      <c r="AD120" s="40"/>
      <c r="AE120" s="40"/>
    </row>
    <row r="121" spans="1:75" ht="20.100000000000001" customHeight="1">
      <c r="J121" s="40"/>
      <c r="U121" s="40"/>
      <c r="V121" s="40"/>
      <c r="W121" s="40"/>
      <c r="X121" s="40"/>
      <c r="Y121" s="40"/>
      <c r="Z121" s="40"/>
      <c r="AA121" s="40"/>
      <c r="AB121" s="40"/>
      <c r="AC121" s="40"/>
      <c r="AD121" s="40"/>
      <c r="AE121" s="40"/>
    </row>
    <row r="122" spans="1:75" ht="20.100000000000001" customHeight="1">
      <c r="J122" s="40"/>
      <c r="U122" s="40"/>
      <c r="V122" s="40"/>
      <c r="W122" s="40"/>
      <c r="X122" s="40"/>
      <c r="Y122" s="40"/>
      <c r="Z122" s="40"/>
      <c r="AA122" s="40"/>
      <c r="AB122" s="40"/>
      <c r="AC122" s="40"/>
      <c r="AD122" s="40"/>
      <c r="AE122" s="40"/>
    </row>
    <row r="123" spans="1:75" ht="20.100000000000001" customHeight="1">
      <c r="J123" s="40"/>
      <c r="U123" s="40"/>
      <c r="V123" s="40"/>
      <c r="W123" s="40"/>
      <c r="X123" s="40"/>
      <c r="Y123" s="40"/>
      <c r="Z123" s="40"/>
      <c r="AA123" s="40"/>
      <c r="AB123" s="40"/>
      <c r="AC123" s="40"/>
      <c r="AD123" s="40"/>
      <c r="AE123" s="40"/>
    </row>
    <row r="124" spans="1:75" ht="20.100000000000001" customHeight="1">
      <c r="J124" s="40"/>
      <c r="U124" s="40"/>
      <c r="V124" s="40"/>
      <c r="W124" s="40"/>
      <c r="X124" s="40"/>
      <c r="Y124" s="40"/>
      <c r="Z124" s="40"/>
      <c r="AA124" s="40"/>
      <c r="AB124" s="40"/>
      <c r="AC124" s="40"/>
      <c r="AD124" s="40"/>
      <c r="AE124" s="40"/>
    </row>
    <row r="125" spans="1:75" ht="20.100000000000001" customHeight="1">
      <c r="J125" s="40"/>
      <c r="U125" s="40"/>
      <c r="V125" s="40"/>
      <c r="W125" s="40"/>
      <c r="X125" s="40"/>
      <c r="Y125" s="40"/>
      <c r="Z125" s="40"/>
      <c r="AA125" s="40"/>
      <c r="AB125" s="40"/>
      <c r="AC125" s="40"/>
      <c r="AD125" s="40"/>
      <c r="AE125" s="40"/>
    </row>
    <row r="126" spans="1:75" ht="20.100000000000001" customHeight="1">
      <c r="J126" s="40"/>
      <c r="U126" s="40"/>
      <c r="V126" s="40"/>
      <c r="W126" s="40"/>
      <c r="X126" s="40"/>
      <c r="Y126" s="40"/>
      <c r="Z126" s="40"/>
      <c r="AA126" s="40"/>
      <c r="AB126" s="40"/>
      <c r="AC126" s="40"/>
      <c r="AD126" s="40"/>
      <c r="AE126" s="40"/>
    </row>
    <row r="127" spans="1:75" ht="20.100000000000001" customHeight="1">
      <c r="J127" s="40"/>
      <c r="U127" s="40"/>
      <c r="V127" s="40"/>
      <c r="W127" s="40"/>
      <c r="X127" s="40"/>
      <c r="Y127" s="40"/>
      <c r="Z127" s="40"/>
      <c r="AA127" s="40"/>
      <c r="AB127" s="40"/>
      <c r="AC127" s="40"/>
      <c r="AD127" s="40"/>
      <c r="AE127" s="40"/>
    </row>
    <row r="128" spans="1:75" ht="20.100000000000001" customHeight="1">
      <c r="J128" s="40"/>
      <c r="U128" s="40"/>
      <c r="V128" s="40"/>
      <c r="W128" s="40"/>
      <c r="X128" s="40"/>
      <c r="Y128" s="40"/>
      <c r="Z128" s="40"/>
      <c r="AA128" s="40"/>
      <c r="AB128" s="40"/>
      <c r="AC128" s="40"/>
      <c r="AD128" s="40"/>
      <c r="AE128" s="40"/>
    </row>
    <row r="129" spans="2:31" ht="20.100000000000001" customHeight="1">
      <c r="J129" s="40"/>
      <c r="U129" s="40"/>
      <c r="V129" s="40"/>
      <c r="W129" s="40"/>
      <c r="X129" s="40"/>
      <c r="Y129" s="40"/>
      <c r="Z129" s="40"/>
      <c r="AA129" s="40"/>
      <c r="AB129" s="40"/>
      <c r="AC129" s="40"/>
      <c r="AD129" s="40"/>
      <c r="AE129" s="40"/>
    </row>
    <row r="130" spans="2:31" ht="20.100000000000001" customHeight="1">
      <c r="J130" s="40"/>
      <c r="U130" s="40"/>
      <c r="V130" s="40"/>
      <c r="W130" s="40"/>
      <c r="X130" s="40"/>
      <c r="Y130" s="40"/>
      <c r="Z130" s="40"/>
      <c r="AA130" s="40"/>
      <c r="AB130" s="40"/>
      <c r="AC130" s="40"/>
      <c r="AD130" s="40"/>
      <c r="AE130" s="40"/>
    </row>
    <row r="131" spans="2:31" ht="20.100000000000001" customHeight="1">
      <c r="J131" s="40"/>
      <c r="U131" s="40"/>
      <c r="V131" s="40"/>
      <c r="W131" s="40"/>
      <c r="X131" s="40"/>
      <c r="Y131" s="40"/>
      <c r="Z131" s="40"/>
      <c r="AA131" s="40"/>
      <c r="AB131" s="40"/>
      <c r="AC131" s="40"/>
      <c r="AD131" s="40"/>
      <c r="AE131" s="40"/>
    </row>
    <row r="132" spans="2:31" ht="20.100000000000001" customHeight="1">
      <c r="J132" s="40"/>
      <c r="U132" s="40"/>
      <c r="V132" s="40"/>
      <c r="W132" s="40"/>
      <c r="X132" s="40"/>
      <c r="Y132" s="40"/>
      <c r="Z132" s="40"/>
      <c r="AA132" s="40"/>
      <c r="AB132" s="40"/>
      <c r="AC132" s="40"/>
      <c r="AD132" s="40"/>
      <c r="AE132" s="40"/>
    </row>
    <row r="133" spans="2:31" ht="20.100000000000001" customHeight="1">
      <c r="J133" s="40"/>
      <c r="U133" s="40"/>
      <c r="V133" s="40"/>
      <c r="W133" s="40"/>
      <c r="X133" s="40"/>
      <c r="Y133" s="40"/>
      <c r="Z133" s="40"/>
      <c r="AA133" s="40"/>
      <c r="AB133" s="40"/>
      <c r="AC133" s="40"/>
      <c r="AD133" s="40"/>
      <c r="AE133" s="40"/>
    </row>
    <row r="134" spans="2:31" ht="20.100000000000001" customHeight="1">
      <c r="J134" s="40"/>
      <c r="U134" s="40"/>
      <c r="V134" s="40"/>
      <c r="W134" s="40"/>
      <c r="X134" s="40"/>
      <c r="Y134" s="40"/>
      <c r="Z134" s="40"/>
      <c r="AA134" s="40"/>
      <c r="AB134" s="40"/>
      <c r="AC134" s="40"/>
      <c r="AD134" s="40"/>
      <c r="AE134" s="40"/>
    </row>
    <row r="135" spans="2:31" ht="20.100000000000001" customHeight="1">
      <c r="J135" s="40"/>
      <c r="U135" s="40"/>
      <c r="V135" s="40"/>
      <c r="W135" s="40"/>
      <c r="X135" s="40"/>
      <c r="Y135" s="40"/>
      <c r="Z135" s="40"/>
      <c r="AA135" s="40"/>
      <c r="AB135" s="40"/>
      <c r="AC135" s="40"/>
      <c r="AD135" s="40"/>
      <c r="AE135" s="40"/>
    </row>
    <row r="136" spans="2:31" ht="20.100000000000001" customHeight="1">
      <c r="J136" s="40"/>
      <c r="U136" s="40"/>
      <c r="V136" s="40"/>
      <c r="W136" s="40"/>
      <c r="X136" s="40"/>
      <c r="Y136" s="40"/>
      <c r="Z136" s="40"/>
      <c r="AA136" s="40"/>
      <c r="AB136" s="40"/>
      <c r="AC136" s="40"/>
      <c r="AD136" s="40"/>
      <c r="AE136" s="40"/>
    </row>
    <row r="137" spans="2:31" ht="20.100000000000001" customHeight="1">
      <c r="J137" s="40"/>
      <c r="U137" s="40"/>
      <c r="V137" s="40"/>
      <c r="W137" s="40"/>
      <c r="X137" s="40"/>
      <c r="Y137" s="40"/>
      <c r="Z137" s="40"/>
      <c r="AA137" s="40"/>
      <c r="AB137" s="40"/>
      <c r="AC137" s="40"/>
      <c r="AD137" s="40"/>
      <c r="AE137" s="40"/>
    </row>
    <row r="138" spans="2:31" ht="20.100000000000001" customHeight="1">
      <c r="J138" s="40"/>
      <c r="U138" s="40"/>
      <c r="V138" s="40"/>
      <c r="W138" s="40"/>
      <c r="X138" s="40"/>
      <c r="Y138" s="40"/>
      <c r="Z138" s="40"/>
      <c r="AA138" s="40"/>
      <c r="AB138" s="40"/>
      <c r="AC138" s="40"/>
      <c r="AD138" s="40"/>
      <c r="AE138" s="40"/>
    </row>
    <row r="139" spans="2:31" ht="20.100000000000001" customHeight="1">
      <c r="J139" s="40"/>
      <c r="U139" s="40"/>
      <c r="V139" s="40"/>
      <c r="W139" s="40"/>
      <c r="X139" s="40"/>
      <c r="Y139" s="40"/>
      <c r="Z139" s="40"/>
      <c r="AA139" s="40"/>
      <c r="AB139" s="40"/>
      <c r="AC139" s="40"/>
      <c r="AD139" s="40"/>
      <c r="AE139" s="40"/>
    </row>
    <row r="140" spans="2:31" ht="20.100000000000001" customHeight="1">
      <c r="J140" s="40"/>
      <c r="U140" s="40"/>
      <c r="V140" s="40"/>
      <c r="W140" s="40"/>
      <c r="X140" s="40"/>
      <c r="Y140" s="40"/>
      <c r="Z140" s="40"/>
      <c r="AA140" s="40"/>
      <c r="AB140" s="40"/>
      <c r="AC140" s="40"/>
      <c r="AD140" s="40"/>
      <c r="AE140" s="40"/>
    </row>
    <row r="141" spans="2:31">
      <c r="B141" s="40"/>
      <c r="C141" s="40"/>
      <c r="D141" s="40"/>
      <c r="E141" s="40"/>
      <c r="F141" s="40"/>
      <c r="G141" s="40"/>
      <c r="H141" s="40"/>
      <c r="I141" s="40"/>
      <c r="J141" s="40"/>
      <c r="N141" s="40"/>
      <c r="O141" s="40"/>
      <c r="P141" s="40"/>
      <c r="Q141" s="40"/>
      <c r="R141" s="40"/>
      <c r="S141" s="40"/>
      <c r="T141" s="40"/>
      <c r="U141" s="40"/>
      <c r="V141" s="40"/>
      <c r="W141" s="40"/>
      <c r="X141" s="40"/>
      <c r="Y141" s="40"/>
      <c r="Z141" s="40"/>
      <c r="AA141" s="40"/>
      <c r="AB141" s="40"/>
      <c r="AC141" s="40"/>
      <c r="AD141" s="40"/>
      <c r="AE141" s="40"/>
    </row>
    <row r="142" spans="2:31">
      <c r="J142" s="40"/>
      <c r="U142" s="40"/>
      <c r="V142" s="40"/>
      <c r="W142" s="40"/>
      <c r="X142" s="40"/>
      <c r="Y142" s="40"/>
      <c r="Z142" s="40"/>
      <c r="AA142" s="40"/>
      <c r="AB142" s="40"/>
      <c r="AC142" s="40"/>
      <c r="AD142" s="40"/>
      <c r="AE142" s="40"/>
    </row>
    <row r="143" spans="2:31">
      <c r="J143" s="40"/>
      <c r="U143" s="40"/>
      <c r="V143" s="40"/>
      <c r="W143" s="40"/>
      <c r="X143" s="40"/>
      <c r="Y143" s="40"/>
      <c r="Z143" s="40"/>
      <c r="AA143" s="40"/>
      <c r="AB143" s="40"/>
      <c r="AC143" s="40"/>
      <c r="AD143" s="40"/>
      <c r="AE143" s="40"/>
    </row>
    <row r="144" spans="2:31">
      <c r="J144" s="40"/>
      <c r="U144" s="40"/>
      <c r="V144" s="40"/>
      <c r="W144" s="40"/>
      <c r="X144" s="40"/>
      <c r="Y144" s="40"/>
      <c r="Z144" s="40"/>
      <c r="AA144" s="40"/>
      <c r="AB144" s="40"/>
      <c r="AC144" s="40"/>
      <c r="AD144" s="40"/>
      <c r="AE144" s="40"/>
    </row>
    <row r="145" spans="10:31">
      <c r="J145" s="40"/>
      <c r="U145" s="40"/>
      <c r="V145" s="40"/>
      <c r="W145" s="40"/>
      <c r="X145" s="40"/>
      <c r="Y145" s="40"/>
      <c r="Z145" s="40"/>
      <c r="AA145" s="40"/>
      <c r="AB145" s="40"/>
      <c r="AC145" s="40"/>
      <c r="AD145" s="40"/>
      <c r="AE145" s="40"/>
    </row>
    <row r="146" spans="10:31">
      <c r="J146" s="40"/>
      <c r="U146" s="40"/>
      <c r="V146" s="40"/>
      <c r="W146" s="40"/>
      <c r="X146" s="40"/>
      <c r="Y146" s="40"/>
      <c r="Z146" s="40"/>
      <c r="AA146" s="40"/>
      <c r="AB146" s="40"/>
      <c r="AC146" s="40"/>
      <c r="AD146" s="40"/>
      <c r="AE146" s="40"/>
    </row>
    <row r="147" spans="10:31">
      <c r="J147" s="40"/>
      <c r="U147" s="40"/>
      <c r="V147" s="40"/>
      <c r="W147" s="40"/>
      <c r="X147" s="40"/>
      <c r="Y147" s="40"/>
      <c r="Z147" s="40"/>
      <c r="AA147" s="40"/>
      <c r="AB147" s="40"/>
      <c r="AC147" s="40"/>
      <c r="AD147" s="40"/>
      <c r="AE147" s="40"/>
    </row>
    <row r="148" spans="10:31">
      <c r="J148" s="40"/>
      <c r="U148" s="40"/>
      <c r="V148" s="40"/>
      <c r="W148" s="40"/>
      <c r="X148" s="40"/>
      <c r="Y148" s="40"/>
      <c r="Z148" s="40"/>
      <c r="AA148" s="40"/>
      <c r="AB148" s="40"/>
      <c r="AC148" s="40"/>
      <c r="AD148" s="40"/>
      <c r="AE148" s="40"/>
    </row>
    <row r="149" spans="10:31">
      <c r="J149" s="40"/>
      <c r="U149" s="40"/>
      <c r="V149" s="40"/>
      <c r="W149" s="40"/>
      <c r="X149" s="40"/>
      <c r="Y149" s="40"/>
      <c r="Z149" s="40"/>
      <c r="AA149" s="40"/>
      <c r="AB149" s="40"/>
      <c r="AC149" s="40"/>
      <c r="AD149" s="40"/>
      <c r="AE149" s="40"/>
    </row>
    <row r="150" spans="10:31">
      <c r="J150" s="40"/>
      <c r="U150" s="40"/>
      <c r="V150" s="40"/>
      <c r="W150" s="40"/>
      <c r="X150" s="40"/>
      <c r="Y150" s="40"/>
      <c r="Z150" s="40"/>
      <c r="AA150" s="40"/>
      <c r="AB150" s="40"/>
      <c r="AC150" s="40"/>
      <c r="AD150" s="40"/>
      <c r="AE150" s="40"/>
    </row>
    <row r="151" spans="10:31">
      <c r="J151" s="40"/>
      <c r="U151" s="40"/>
      <c r="V151" s="40"/>
      <c r="W151" s="40"/>
      <c r="X151" s="40"/>
      <c r="Y151" s="40"/>
      <c r="Z151" s="40"/>
      <c r="AA151" s="40"/>
      <c r="AB151" s="40"/>
      <c r="AC151" s="40"/>
      <c r="AD151" s="40"/>
      <c r="AE151" s="40"/>
    </row>
    <row r="152" spans="10:31">
      <c r="J152" s="40"/>
      <c r="U152" s="40"/>
      <c r="V152" s="40"/>
      <c r="W152" s="40"/>
      <c r="X152" s="40"/>
      <c r="Y152" s="40"/>
      <c r="Z152" s="40"/>
      <c r="AA152" s="40"/>
      <c r="AB152" s="40"/>
      <c r="AC152" s="40"/>
      <c r="AD152" s="40"/>
      <c r="AE152" s="40"/>
    </row>
    <row r="153" spans="10:31">
      <c r="J153" s="40"/>
      <c r="U153" s="40"/>
      <c r="V153" s="40"/>
      <c r="W153" s="40"/>
      <c r="X153" s="40"/>
      <c r="Y153" s="40"/>
      <c r="Z153" s="40"/>
      <c r="AA153" s="40"/>
      <c r="AB153" s="40"/>
      <c r="AC153" s="40"/>
      <c r="AD153" s="40"/>
      <c r="AE153" s="40"/>
    </row>
    <row r="154" spans="10:31">
      <c r="J154" s="40"/>
      <c r="U154" s="40"/>
      <c r="V154" s="40"/>
      <c r="W154" s="40"/>
      <c r="X154" s="40"/>
      <c r="Y154" s="40"/>
      <c r="Z154" s="40"/>
      <c r="AA154" s="40"/>
      <c r="AB154" s="40"/>
      <c r="AC154" s="40"/>
      <c r="AD154" s="40"/>
      <c r="AE154" s="40"/>
    </row>
    <row r="155" spans="10:31">
      <c r="J155" s="40"/>
      <c r="U155" s="40"/>
      <c r="V155" s="40"/>
      <c r="W155" s="40"/>
      <c r="X155" s="40"/>
      <c r="Y155" s="40"/>
      <c r="Z155" s="40"/>
      <c r="AA155" s="40"/>
      <c r="AB155" s="40"/>
      <c r="AC155" s="40"/>
      <c r="AD155" s="40"/>
      <c r="AE155" s="40"/>
    </row>
    <row r="156" spans="10:31">
      <c r="J156" s="40"/>
      <c r="U156" s="40"/>
      <c r="V156" s="40"/>
      <c r="W156" s="40"/>
      <c r="X156" s="40"/>
      <c r="Y156" s="40"/>
      <c r="Z156" s="40"/>
      <c r="AA156" s="40"/>
      <c r="AB156" s="40"/>
      <c r="AC156" s="40"/>
      <c r="AD156" s="40"/>
      <c r="AE156" s="40"/>
    </row>
    <row r="157" spans="10:31">
      <c r="J157" s="40"/>
      <c r="U157" s="40"/>
      <c r="V157" s="40"/>
      <c r="W157" s="40"/>
      <c r="X157" s="40"/>
      <c r="Y157" s="40"/>
      <c r="Z157" s="40"/>
      <c r="AA157" s="40"/>
      <c r="AB157" s="40"/>
      <c r="AC157" s="40"/>
      <c r="AD157" s="40"/>
      <c r="AE157" s="40"/>
    </row>
    <row r="158" spans="10:31">
      <c r="J158" s="40"/>
      <c r="U158" s="40"/>
      <c r="V158" s="40"/>
      <c r="W158" s="40"/>
      <c r="X158" s="40"/>
      <c r="Y158" s="40"/>
      <c r="Z158" s="40"/>
      <c r="AA158" s="40"/>
      <c r="AB158" s="40"/>
      <c r="AC158" s="40"/>
      <c r="AD158" s="40"/>
      <c r="AE158" s="40"/>
    </row>
    <row r="159" spans="10:31">
      <c r="J159" s="40"/>
      <c r="U159" s="40"/>
      <c r="V159" s="40"/>
      <c r="W159" s="40"/>
      <c r="X159" s="40"/>
      <c r="Y159" s="40"/>
      <c r="Z159" s="40"/>
      <c r="AA159" s="40"/>
      <c r="AB159" s="40"/>
      <c r="AC159" s="40"/>
      <c r="AD159" s="40"/>
      <c r="AE159" s="40"/>
    </row>
    <row r="160" spans="10:31">
      <c r="J160" s="40"/>
      <c r="U160" s="40"/>
      <c r="V160" s="40"/>
      <c r="W160" s="40"/>
      <c r="X160" s="40"/>
      <c r="Y160" s="40"/>
      <c r="Z160" s="40"/>
      <c r="AA160" s="40"/>
      <c r="AB160" s="40"/>
      <c r="AC160" s="40"/>
      <c r="AD160" s="40"/>
      <c r="AE160" s="40"/>
    </row>
    <row r="161" spans="10:31" ht="11.1" customHeight="1">
      <c r="J161" s="40"/>
      <c r="U161" s="40"/>
      <c r="V161" s="40"/>
      <c r="W161" s="40"/>
      <c r="X161" s="40"/>
      <c r="Y161" s="40"/>
      <c r="Z161" s="40"/>
      <c r="AA161" s="40"/>
      <c r="AB161" s="40"/>
      <c r="AC161" s="40"/>
      <c r="AD161" s="40"/>
      <c r="AE161" s="40"/>
    </row>
    <row r="162" spans="10:31">
      <c r="J162" s="40"/>
      <c r="U162" s="40"/>
      <c r="V162" s="40"/>
      <c r="W162" s="40"/>
      <c r="X162" s="40"/>
      <c r="Y162" s="40"/>
      <c r="Z162" s="40"/>
      <c r="AA162" s="40"/>
      <c r="AB162" s="40"/>
      <c r="AC162" s="40"/>
      <c r="AD162" s="40"/>
      <c r="AE162" s="40"/>
    </row>
    <row r="163" spans="10:31">
      <c r="J163" s="40"/>
      <c r="U163" s="40"/>
      <c r="V163" s="40"/>
      <c r="W163" s="40"/>
      <c r="X163" s="40"/>
      <c r="Y163" s="40"/>
      <c r="Z163" s="40"/>
      <c r="AA163" s="40"/>
      <c r="AB163" s="40"/>
      <c r="AC163" s="40"/>
      <c r="AD163" s="40"/>
      <c r="AE163" s="40"/>
    </row>
    <row r="164" spans="10:31">
      <c r="J164" s="40"/>
      <c r="U164" s="40"/>
      <c r="V164" s="40"/>
      <c r="W164" s="40"/>
      <c r="X164" s="40"/>
      <c r="Y164" s="40"/>
      <c r="Z164" s="40"/>
      <c r="AA164" s="40"/>
      <c r="AB164" s="40"/>
      <c r="AC164" s="40"/>
      <c r="AD164" s="40"/>
      <c r="AE164" s="40"/>
    </row>
    <row r="165" spans="10:31">
      <c r="J165" s="40"/>
      <c r="U165" s="40"/>
      <c r="V165" s="40"/>
      <c r="W165" s="40"/>
      <c r="X165" s="40"/>
      <c r="Y165" s="40"/>
      <c r="Z165" s="40"/>
      <c r="AA165" s="40"/>
      <c r="AB165" s="40"/>
      <c r="AC165" s="40"/>
      <c r="AD165" s="40"/>
      <c r="AE165" s="40"/>
    </row>
    <row r="166" spans="10:31">
      <c r="J166" s="40"/>
      <c r="U166" s="40"/>
      <c r="V166" s="40"/>
      <c r="W166" s="40"/>
      <c r="X166" s="40"/>
      <c r="Y166" s="40"/>
      <c r="Z166" s="40"/>
      <c r="AA166" s="40"/>
      <c r="AB166" s="40"/>
      <c r="AC166" s="40"/>
      <c r="AD166" s="40"/>
      <c r="AE166" s="40"/>
    </row>
    <row r="167" spans="10:31">
      <c r="J167" s="40"/>
      <c r="U167" s="40"/>
      <c r="V167" s="40"/>
      <c r="W167" s="40"/>
      <c r="X167" s="40"/>
      <c r="Y167" s="40"/>
      <c r="Z167" s="40"/>
      <c r="AA167" s="40"/>
      <c r="AB167" s="40"/>
      <c r="AC167" s="40"/>
      <c r="AD167" s="40"/>
      <c r="AE167" s="40"/>
    </row>
    <row r="168" spans="10:31">
      <c r="J168" s="40"/>
      <c r="U168" s="40"/>
      <c r="V168" s="40"/>
      <c r="W168" s="40"/>
      <c r="X168" s="40"/>
      <c r="Y168" s="40"/>
      <c r="Z168" s="40"/>
      <c r="AA168" s="40"/>
      <c r="AB168" s="40"/>
      <c r="AC168" s="40"/>
      <c r="AD168" s="40"/>
      <c r="AE168" s="40"/>
    </row>
    <row r="169" spans="10:31">
      <c r="J169" s="40"/>
      <c r="U169" s="40"/>
      <c r="V169" s="40"/>
      <c r="W169" s="40"/>
      <c r="X169" s="40"/>
      <c r="Y169" s="40"/>
      <c r="Z169" s="40"/>
      <c r="AA169" s="40"/>
      <c r="AB169" s="40"/>
      <c r="AC169" s="40"/>
      <c r="AD169" s="40"/>
      <c r="AE169" s="40"/>
    </row>
    <row r="170" spans="10:31">
      <c r="J170" s="40"/>
      <c r="U170" s="40"/>
      <c r="V170" s="40"/>
      <c r="W170" s="40"/>
      <c r="X170" s="40"/>
      <c r="Y170" s="40"/>
      <c r="Z170" s="40"/>
      <c r="AA170" s="40"/>
      <c r="AB170" s="40"/>
      <c r="AC170" s="40"/>
      <c r="AD170" s="40"/>
      <c r="AE170" s="40"/>
    </row>
    <row r="171" spans="10:31">
      <c r="J171" s="40"/>
      <c r="U171" s="40"/>
      <c r="V171" s="40"/>
      <c r="W171" s="40"/>
      <c r="X171" s="40"/>
      <c r="Y171" s="40"/>
      <c r="Z171" s="40"/>
      <c r="AA171" s="40"/>
      <c r="AB171" s="40"/>
      <c r="AC171" s="40"/>
      <c r="AD171" s="40"/>
      <c r="AE171" s="40"/>
    </row>
    <row r="172" spans="10:31">
      <c r="J172" s="40"/>
      <c r="U172" s="40"/>
      <c r="V172" s="40"/>
      <c r="W172" s="40"/>
      <c r="X172" s="40"/>
      <c r="Y172" s="40"/>
      <c r="Z172" s="40"/>
      <c r="AA172" s="40"/>
      <c r="AB172" s="40"/>
      <c r="AC172" s="40"/>
      <c r="AD172" s="40"/>
      <c r="AE172" s="40"/>
    </row>
    <row r="173" spans="10:31">
      <c r="J173" s="40"/>
      <c r="U173" s="40"/>
      <c r="V173" s="40"/>
      <c r="W173" s="40"/>
      <c r="X173" s="40"/>
      <c r="Y173" s="40"/>
      <c r="Z173" s="40"/>
      <c r="AA173" s="40"/>
      <c r="AB173" s="40"/>
      <c r="AC173" s="40"/>
      <c r="AD173" s="40"/>
      <c r="AE173" s="40"/>
    </row>
    <row r="174" spans="10:31">
      <c r="J174" s="40"/>
      <c r="U174" s="40"/>
      <c r="V174" s="40"/>
      <c r="W174" s="40"/>
      <c r="X174" s="40"/>
      <c r="Y174" s="40"/>
      <c r="Z174" s="40"/>
      <c r="AA174" s="40"/>
      <c r="AB174" s="40"/>
      <c r="AC174" s="40"/>
      <c r="AD174" s="40"/>
      <c r="AE174" s="40"/>
    </row>
    <row r="175" spans="10:31">
      <c r="J175" s="40"/>
      <c r="U175" s="40"/>
      <c r="V175" s="40"/>
      <c r="W175" s="40"/>
      <c r="X175" s="40"/>
      <c r="Y175" s="40"/>
      <c r="Z175" s="40"/>
      <c r="AA175" s="40"/>
      <c r="AB175" s="40"/>
      <c r="AC175" s="40"/>
      <c r="AD175" s="40"/>
      <c r="AE175" s="40"/>
    </row>
    <row r="176" spans="10:31">
      <c r="J176" s="40"/>
      <c r="U176" s="40"/>
      <c r="V176" s="40"/>
      <c r="W176" s="40"/>
      <c r="X176" s="40"/>
      <c r="Y176" s="40"/>
      <c r="Z176" s="40"/>
      <c r="AA176" s="40"/>
      <c r="AB176" s="40"/>
      <c r="AC176" s="40"/>
      <c r="AD176" s="40"/>
      <c r="AE176" s="40"/>
    </row>
    <row r="177" spans="10:31">
      <c r="J177" s="40"/>
      <c r="U177" s="40"/>
      <c r="V177" s="40"/>
      <c r="W177" s="40"/>
      <c r="X177" s="40"/>
      <c r="Y177" s="40"/>
      <c r="Z177" s="40"/>
      <c r="AA177" s="40"/>
      <c r="AB177" s="40"/>
      <c r="AC177" s="40"/>
      <c r="AD177" s="40"/>
      <c r="AE177" s="40"/>
    </row>
    <row r="178" spans="10:31">
      <c r="J178" s="40"/>
      <c r="U178" s="40"/>
      <c r="V178" s="40"/>
      <c r="W178" s="40"/>
      <c r="X178" s="40"/>
      <c r="Y178" s="40"/>
      <c r="Z178" s="40"/>
      <c r="AA178" s="40"/>
      <c r="AB178" s="40"/>
      <c r="AC178" s="40"/>
      <c r="AD178" s="40"/>
      <c r="AE178" s="40"/>
    </row>
    <row r="179" spans="10:31">
      <c r="J179" s="40"/>
      <c r="U179" s="40"/>
      <c r="V179" s="40"/>
      <c r="W179" s="40"/>
      <c r="X179" s="40"/>
      <c r="Y179" s="40"/>
      <c r="Z179" s="40"/>
      <c r="AA179" s="40"/>
      <c r="AB179" s="40"/>
      <c r="AC179" s="40"/>
      <c r="AD179" s="40"/>
      <c r="AE179" s="40"/>
    </row>
    <row r="180" spans="10:31">
      <c r="J180" s="40"/>
      <c r="U180" s="40"/>
      <c r="V180" s="40"/>
      <c r="W180" s="40"/>
      <c r="X180" s="40"/>
      <c r="Y180" s="40"/>
      <c r="Z180" s="40"/>
      <c r="AA180" s="40"/>
      <c r="AB180" s="40"/>
      <c r="AC180" s="40"/>
      <c r="AD180" s="40"/>
      <c r="AE180" s="40"/>
    </row>
    <row r="181" spans="10:31">
      <c r="J181" s="40"/>
      <c r="U181" s="40"/>
      <c r="V181" s="40"/>
      <c r="W181" s="40"/>
      <c r="X181" s="40"/>
      <c r="Y181" s="40"/>
      <c r="Z181" s="40"/>
      <c r="AA181" s="40"/>
      <c r="AB181" s="40"/>
      <c r="AC181" s="40"/>
      <c r="AD181" s="40"/>
      <c r="AE181" s="40"/>
    </row>
    <row r="182" spans="10:31">
      <c r="J182" s="40"/>
      <c r="U182" s="40"/>
      <c r="V182" s="40"/>
      <c r="W182" s="40"/>
      <c r="X182" s="40"/>
      <c r="Y182" s="40"/>
      <c r="Z182" s="40"/>
      <c r="AA182" s="40"/>
      <c r="AB182" s="40"/>
      <c r="AC182" s="40"/>
      <c r="AD182" s="40"/>
      <c r="AE182" s="40"/>
    </row>
    <row r="183" spans="10:31">
      <c r="J183" s="40"/>
      <c r="U183" s="40"/>
      <c r="V183" s="40"/>
      <c r="W183" s="40"/>
      <c r="X183" s="40"/>
      <c r="Y183" s="40"/>
      <c r="Z183" s="40"/>
      <c r="AA183" s="40"/>
      <c r="AB183" s="40"/>
      <c r="AC183" s="40"/>
      <c r="AD183" s="40"/>
      <c r="AE183" s="40"/>
    </row>
    <row r="184" spans="10:31">
      <c r="J184" s="40"/>
      <c r="U184" s="40"/>
      <c r="V184" s="40"/>
      <c r="W184" s="40"/>
      <c r="X184" s="40"/>
      <c r="Y184" s="40"/>
      <c r="Z184" s="40"/>
      <c r="AA184" s="40"/>
      <c r="AB184" s="40"/>
      <c r="AC184" s="40"/>
      <c r="AD184" s="40"/>
      <c r="AE184" s="40"/>
    </row>
    <row r="185" spans="10:31">
      <c r="J185" s="40"/>
      <c r="U185" s="40"/>
      <c r="V185" s="40"/>
      <c r="W185" s="40"/>
      <c r="X185" s="40"/>
      <c r="Y185" s="40"/>
      <c r="Z185" s="40"/>
      <c r="AA185" s="40"/>
      <c r="AB185" s="40"/>
      <c r="AC185" s="40"/>
      <c r="AD185" s="40"/>
      <c r="AE185" s="40"/>
    </row>
    <row r="186" spans="10:31">
      <c r="J186" s="40"/>
      <c r="U186" s="40"/>
      <c r="V186" s="40"/>
      <c r="W186" s="40"/>
      <c r="X186" s="40"/>
      <c r="Y186" s="40"/>
      <c r="Z186" s="40"/>
      <c r="AA186" s="40"/>
      <c r="AB186" s="40"/>
      <c r="AC186" s="40"/>
      <c r="AD186" s="40"/>
      <c r="AE186" s="40"/>
    </row>
    <row r="187" spans="10:31">
      <c r="J187" s="40"/>
      <c r="U187" s="40"/>
      <c r="V187" s="40"/>
      <c r="W187" s="40"/>
      <c r="X187" s="40"/>
      <c r="Y187" s="40"/>
      <c r="Z187" s="40"/>
      <c r="AA187" s="40"/>
      <c r="AB187" s="40"/>
      <c r="AC187" s="40"/>
      <c r="AD187" s="40"/>
      <c r="AE187" s="40"/>
    </row>
    <row r="188" spans="10:31">
      <c r="J188" s="40"/>
      <c r="U188" s="40"/>
      <c r="V188" s="40"/>
      <c r="W188" s="40"/>
      <c r="X188" s="40"/>
      <c r="Y188" s="40"/>
      <c r="Z188" s="40"/>
      <c r="AA188" s="40"/>
      <c r="AB188" s="40"/>
      <c r="AC188" s="40"/>
      <c r="AD188" s="40"/>
      <c r="AE188" s="40"/>
    </row>
    <row r="189" spans="10:31">
      <c r="J189" s="40"/>
      <c r="U189" s="40"/>
      <c r="V189" s="40"/>
      <c r="W189" s="40"/>
      <c r="X189" s="40"/>
      <c r="Y189" s="40"/>
      <c r="Z189" s="40"/>
      <c r="AA189" s="40"/>
      <c r="AB189" s="40"/>
      <c r="AC189" s="40"/>
      <c r="AD189" s="40"/>
      <c r="AE189" s="40"/>
    </row>
    <row r="190" spans="10:31">
      <c r="J190" s="40"/>
      <c r="U190" s="40"/>
      <c r="V190" s="40"/>
      <c r="W190" s="40"/>
      <c r="X190" s="40"/>
      <c r="Y190" s="40"/>
      <c r="Z190" s="40"/>
      <c r="AA190" s="40"/>
      <c r="AB190" s="40"/>
      <c r="AC190" s="40"/>
      <c r="AD190" s="40"/>
      <c r="AE190" s="40"/>
    </row>
    <row r="191" spans="10:31">
      <c r="J191" s="40"/>
      <c r="U191" s="40"/>
      <c r="V191" s="40"/>
      <c r="W191" s="40"/>
      <c r="X191" s="40"/>
      <c r="Y191" s="40"/>
      <c r="Z191" s="40"/>
      <c r="AA191" s="40"/>
      <c r="AB191" s="40"/>
      <c r="AC191" s="40"/>
      <c r="AD191" s="40"/>
      <c r="AE191" s="40"/>
    </row>
    <row r="192" spans="10:31">
      <c r="J192" s="40"/>
      <c r="U192" s="40"/>
      <c r="V192" s="40"/>
      <c r="W192" s="40"/>
      <c r="X192" s="40"/>
      <c r="Y192" s="40"/>
      <c r="Z192" s="40"/>
      <c r="AA192" s="40"/>
      <c r="AB192" s="40"/>
      <c r="AC192" s="40"/>
      <c r="AD192" s="40"/>
      <c r="AE192" s="40"/>
    </row>
    <row r="193" spans="10:31">
      <c r="J193" s="40"/>
      <c r="U193" s="40"/>
      <c r="V193" s="40"/>
      <c r="W193" s="40"/>
      <c r="X193" s="40"/>
      <c r="Y193" s="40"/>
      <c r="Z193" s="40"/>
      <c r="AA193" s="40"/>
      <c r="AB193" s="40"/>
      <c r="AC193" s="40"/>
      <c r="AD193" s="40"/>
      <c r="AE193" s="40"/>
    </row>
    <row r="194" spans="10:31">
      <c r="J194" s="40"/>
      <c r="U194" s="40"/>
      <c r="V194" s="40"/>
      <c r="W194" s="40"/>
      <c r="X194" s="40"/>
      <c r="Y194" s="40"/>
      <c r="Z194" s="40"/>
      <c r="AA194" s="40"/>
      <c r="AB194" s="40"/>
      <c r="AC194" s="40"/>
      <c r="AD194" s="40"/>
      <c r="AE194" s="40"/>
    </row>
    <row r="195" spans="10:31">
      <c r="J195" s="40"/>
      <c r="U195" s="40"/>
      <c r="V195" s="40"/>
      <c r="W195" s="40"/>
      <c r="X195" s="40"/>
      <c r="Y195" s="40"/>
      <c r="Z195" s="40"/>
      <c r="AA195" s="40"/>
      <c r="AB195" s="40"/>
      <c r="AC195" s="40"/>
      <c r="AD195" s="40"/>
      <c r="AE195" s="40"/>
    </row>
    <row r="196" spans="10:31">
      <c r="J196" s="40"/>
      <c r="U196" s="40"/>
      <c r="V196" s="40"/>
      <c r="W196" s="40"/>
      <c r="X196" s="40"/>
      <c r="Y196" s="40"/>
      <c r="Z196" s="40"/>
      <c r="AA196" s="40"/>
      <c r="AB196" s="40"/>
      <c r="AC196" s="40"/>
      <c r="AD196" s="40"/>
      <c r="AE196" s="40"/>
    </row>
    <row r="197" spans="10:31">
      <c r="J197" s="40"/>
      <c r="U197" s="40"/>
      <c r="V197" s="40"/>
      <c r="W197" s="40"/>
      <c r="X197" s="40"/>
      <c r="Y197" s="40"/>
      <c r="Z197" s="40"/>
      <c r="AA197" s="40"/>
      <c r="AB197" s="40"/>
      <c r="AC197" s="40"/>
      <c r="AD197" s="40"/>
      <c r="AE197" s="40"/>
    </row>
    <row r="198" spans="10:31">
      <c r="J198" s="40"/>
      <c r="U198" s="40"/>
      <c r="V198" s="40"/>
      <c r="W198" s="40"/>
      <c r="X198" s="40"/>
      <c r="Y198" s="40"/>
      <c r="Z198" s="40"/>
      <c r="AA198" s="40"/>
      <c r="AB198" s="40"/>
      <c r="AC198" s="40"/>
      <c r="AD198" s="40"/>
      <c r="AE198" s="40"/>
    </row>
    <row r="199" spans="10:31">
      <c r="J199" s="40"/>
      <c r="U199" s="40"/>
      <c r="V199" s="40"/>
      <c r="W199" s="40"/>
      <c r="X199" s="40"/>
      <c r="Y199" s="40"/>
      <c r="Z199" s="40"/>
      <c r="AA199" s="40"/>
      <c r="AB199" s="40"/>
      <c r="AC199" s="40"/>
      <c r="AD199" s="40"/>
      <c r="AE199" s="40"/>
    </row>
    <row r="200" spans="10:31">
      <c r="J200" s="40"/>
      <c r="U200" s="40"/>
      <c r="V200" s="40"/>
      <c r="W200" s="40"/>
      <c r="X200" s="40"/>
      <c r="Y200" s="40"/>
      <c r="Z200" s="40"/>
      <c r="AA200" s="40"/>
      <c r="AB200" s="40"/>
      <c r="AC200" s="40"/>
      <c r="AD200" s="40"/>
      <c r="AE200" s="40"/>
    </row>
    <row r="201" spans="10:31">
      <c r="J201" s="40"/>
      <c r="U201" s="40"/>
      <c r="V201" s="40"/>
      <c r="W201" s="40"/>
      <c r="X201" s="40"/>
      <c r="Y201" s="40"/>
      <c r="Z201" s="40"/>
      <c r="AA201" s="40"/>
      <c r="AB201" s="40"/>
      <c r="AC201" s="40"/>
      <c r="AD201" s="40"/>
      <c r="AE201" s="40"/>
    </row>
    <row r="202" spans="10:31">
      <c r="J202" s="40"/>
      <c r="U202" s="40"/>
      <c r="V202" s="40"/>
      <c r="W202" s="40"/>
      <c r="X202" s="40"/>
      <c r="Y202" s="40"/>
      <c r="Z202" s="40"/>
      <c r="AA202" s="40"/>
      <c r="AB202" s="40"/>
      <c r="AC202" s="40"/>
      <c r="AD202" s="40"/>
      <c r="AE202" s="40"/>
    </row>
    <row r="203" spans="10:31">
      <c r="J203" s="40"/>
      <c r="U203" s="40"/>
      <c r="V203" s="40"/>
      <c r="W203" s="40"/>
      <c r="X203" s="40"/>
      <c r="Y203" s="40"/>
      <c r="Z203" s="40"/>
      <c r="AA203" s="40"/>
      <c r="AB203" s="40"/>
      <c r="AC203" s="40"/>
      <c r="AD203" s="40"/>
      <c r="AE203" s="40"/>
    </row>
    <row r="204" spans="10:31">
      <c r="J204" s="40"/>
      <c r="U204" s="40"/>
      <c r="V204" s="40"/>
      <c r="W204" s="40"/>
      <c r="X204" s="40"/>
      <c r="Y204" s="40"/>
      <c r="Z204" s="40"/>
      <c r="AA204" s="40"/>
      <c r="AB204" s="40"/>
      <c r="AC204" s="40"/>
      <c r="AD204" s="40"/>
      <c r="AE204" s="40"/>
    </row>
    <row r="205" spans="10:31">
      <c r="J205" s="40"/>
      <c r="U205" s="40"/>
      <c r="V205" s="40"/>
      <c r="W205" s="40"/>
      <c r="X205" s="40"/>
      <c r="Y205" s="40"/>
      <c r="Z205" s="40"/>
      <c r="AA205" s="40"/>
      <c r="AB205" s="40"/>
      <c r="AC205" s="40"/>
      <c r="AD205" s="40"/>
      <c r="AE205" s="40"/>
    </row>
    <row r="206" spans="10:31">
      <c r="J206" s="40"/>
      <c r="U206" s="40"/>
      <c r="V206" s="40"/>
      <c r="W206" s="40"/>
      <c r="X206" s="40"/>
      <c r="Y206" s="40"/>
      <c r="Z206" s="40"/>
      <c r="AA206" s="40"/>
      <c r="AB206" s="40"/>
      <c r="AC206" s="40"/>
      <c r="AD206" s="40"/>
      <c r="AE206" s="40"/>
    </row>
    <row r="207" spans="10:31">
      <c r="J207" s="40"/>
      <c r="U207" s="40"/>
      <c r="V207" s="40"/>
      <c r="W207" s="40"/>
      <c r="X207" s="40"/>
      <c r="Y207" s="40"/>
      <c r="Z207" s="40"/>
      <c r="AA207" s="40"/>
      <c r="AB207" s="40"/>
      <c r="AC207" s="40"/>
      <c r="AD207" s="40"/>
      <c r="AE207" s="40"/>
    </row>
    <row r="208" spans="10:31">
      <c r="J208" s="40"/>
      <c r="U208" s="40"/>
      <c r="V208" s="40"/>
      <c r="W208" s="40"/>
      <c r="X208" s="40"/>
      <c r="Y208" s="40"/>
      <c r="Z208" s="40"/>
      <c r="AA208" s="40"/>
      <c r="AB208" s="40"/>
      <c r="AC208" s="40"/>
      <c r="AD208" s="40"/>
      <c r="AE208" s="40"/>
    </row>
    <row r="209" spans="10:31">
      <c r="J209" s="40"/>
      <c r="U209" s="40"/>
      <c r="V209" s="40"/>
      <c r="W209" s="40"/>
      <c r="X209" s="40"/>
      <c r="Y209" s="40"/>
      <c r="Z209" s="40"/>
      <c r="AA209" s="40"/>
      <c r="AB209" s="40"/>
      <c r="AC209" s="40"/>
      <c r="AD209" s="40"/>
      <c r="AE209" s="40"/>
    </row>
    <row r="210" spans="10:31">
      <c r="J210" s="40"/>
      <c r="U210" s="40"/>
      <c r="V210" s="40"/>
      <c r="W210" s="40"/>
      <c r="X210" s="40"/>
      <c r="Y210" s="40"/>
      <c r="Z210" s="40"/>
      <c r="AA210" s="40"/>
      <c r="AB210" s="40"/>
      <c r="AC210" s="40"/>
      <c r="AD210" s="40"/>
      <c r="AE210" s="40"/>
    </row>
    <row r="211" spans="10:31">
      <c r="J211" s="40"/>
      <c r="U211" s="40"/>
      <c r="V211" s="40"/>
      <c r="W211" s="40"/>
      <c r="X211" s="40"/>
      <c r="Y211" s="40"/>
      <c r="Z211" s="40"/>
      <c r="AA211" s="40"/>
      <c r="AB211" s="40"/>
      <c r="AC211" s="40"/>
      <c r="AD211" s="40"/>
      <c r="AE211" s="40"/>
    </row>
    <row r="212" spans="10:31">
      <c r="J212" s="40"/>
      <c r="U212" s="40"/>
      <c r="V212" s="40"/>
      <c r="W212" s="40"/>
      <c r="X212" s="40"/>
      <c r="Y212" s="40"/>
      <c r="Z212" s="40"/>
      <c r="AA212" s="40"/>
      <c r="AB212" s="40"/>
      <c r="AC212" s="40"/>
      <c r="AD212" s="40"/>
      <c r="AE212" s="40"/>
    </row>
    <row r="213" spans="10:31">
      <c r="J213" s="40"/>
      <c r="U213" s="40"/>
      <c r="V213" s="40"/>
      <c r="W213" s="40"/>
      <c r="X213" s="40"/>
      <c r="Y213" s="40"/>
      <c r="Z213" s="40"/>
      <c r="AA213" s="40"/>
      <c r="AB213" s="40"/>
      <c r="AC213" s="40"/>
      <c r="AD213" s="40"/>
      <c r="AE213" s="40"/>
    </row>
    <row r="214" spans="10:31">
      <c r="J214" s="40"/>
      <c r="U214" s="40"/>
      <c r="V214" s="40"/>
      <c r="W214" s="40"/>
      <c r="X214" s="40"/>
      <c r="Y214" s="40"/>
      <c r="Z214" s="40"/>
      <c r="AA214" s="40"/>
      <c r="AB214" s="40"/>
      <c r="AC214" s="40"/>
      <c r="AD214" s="40"/>
      <c r="AE214" s="40"/>
    </row>
    <row r="215" spans="10:31">
      <c r="J215" s="40"/>
      <c r="U215" s="40"/>
      <c r="V215" s="40"/>
      <c r="W215" s="40"/>
      <c r="X215" s="40"/>
      <c r="Y215" s="40"/>
      <c r="Z215" s="40"/>
      <c r="AA215" s="40"/>
      <c r="AB215" s="40"/>
      <c r="AC215" s="40"/>
      <c r="AD215" s="40"/>
      <c r="AE215" s="40"/>
    </row>
    <row r="216" spans="10:31">
      <c r="J216" s="40"/>
      <c r="U216" s="40"/>
      <c r="V216" s="40"/>
      <c r="W216" s="40"/>
      <c r="X216" s="40"/>
      <c r="Y216" s="40"/>
      <c r="Z216" s="40"/>
      <c r="AA216" s="40"/>
      <c r="AB216" s="40"/>
      <c r="AC216" s="40"/>
      <c r="AD216" s="40"/>
      <c r="AE216" s="40"/>
    </row>
    <row r="217" spans="10:31">
      <c r="J217" s="40"/>
      <c r="U217" s="40"/>
      <c r="V217" s="40"/>
      <c r="W217" s="40"/>
      <c r="X217" s="40"/>
      <c r="Y217" s="40"/>
      <c r="Z217" s="40"/>
      <c r="AA217" s="40"/>
      <c r="AB217" s="40"/>
      <c r="AC217" s="40"/>
      <c r="AD217" s="40"/>
      <c r="AE217" s="40"/>
    </row>
    <row r="218" spans="10:31">
      <c r="J218" s="40"/>
      <c r="U218" s="40"/>
      <c r="V218" s="40"/>
      <c r="W218" s="40"/>
      <c r="X218" s="40"/>
      <c r="Y218" s="40"/>
      <c r="Z218" s="40"/>
      <c r="AA218" s="40"/>
      <c r="AB218" s="40"/>
      <c r="AC218" s="40"/>
      <c r="AD218" s="40"/>
      <c r="AE218" s="40"/>
    </row>
    <row r="219" spans="10:31">
      <c r="J219" s="40"/>
      <c r="U219" s="40"/>
      <c r="V219" s="40"/>
      <c r="W219" s="40"/>
      <c r="X219" s="40"/>
      <c r="Y219" s="40"/>
      <c r="Z219" s="40"/>
      <c r="AA219" s="40"/>
      <c r="AB219" s="40"/>
      <c r="AC219" s="40"/>
      <c r="AD219" s="40"/>
      <c r="AE219" s="40"/>
    </row>
    <row r="220" spans="10:31">
      <c r="J220" s="40"/>
      <c r="U220" s="40"/>
      <c r="V220" s="40"/>
      <c r="W220" s="40"/>
      <c r="X220" s="40"/>
      <c r="Y220" s="40"/>
      <c r="Z220" s="40"/>
      <c r="AA220" s="40"/>
      <c r="AB220" s="40"/>
      <c r="AC220" s="40"/>
      <c r="AD220" s="40"/>
      <c r="AE220" s="40"/>
    </row>
    <row r="221" spans="10:31">
      <c r="J221" s="40"/>
      <c r="U221" s="40"/>
      <c r="V221" s="40"/>
      <c r="W221" s="40"/>
      <c r="X221" s="40"/>
      <c r="Y221" s="40"/>
      <c r="Z221" s="40"/>
      <c r="AA221" s="40"/>
      <c r="AB221" s="40"/>
      <c r="AC221" s="40"/>
      <c r="AD221" s="40"/>
      <c r="AE221" s="40"/>
    </row>
    <row r="222" spans="10:31">
      <c r="J222" s="40"/>
      <c r="U222" s="40"/>
      <c r="V222" s="40"/>
      <c r="W222" s="40"/>
      <c r="X222" s="40"/>
      <c r="Y222" s="40"/>
      <c r="Z222" s="40"/>
      <c r="AA222" s="40"/>
      <c r="AB222" s="40"/>
      <c r="AC222" s="40"/>
      <c r="AD222" s="40"/>
      <c r="AE222" s="40"/>
    </row>
    <row r="223" spans="10:31">
      <c r="J223" s="40"/>
      <c r="U223" s="40"/>
      <c r="V223" s="40"/>
      <c r="W223" s="40"/>
      <c r="X223" s="40"/>
      <c r="Y223" s="40"/>
      <c r="Z223" s="40"/>
      <c r="AA223" s="40"/>
      <c r="AB223" s="40"/>
      <c r="AC223" s="40"/>
      <c r="AD223" s="40"/>
      <c r="AE223" s="40"/>
    </row>
    <row r="224" spans="10:31">
      <c r="J224" s="40"/>
      <c r="U224" s="40"/>
      <c r="V224" s="40"/>
      <c r="W224" s="40"/>
      <c r="X224" s="40"/>
      <c r="Y224" s="40"/>
      <c r="Z224" s="40"/>
      <c r="AA224" s="40"/>
      <c r="AB224" s="40"/>
      <c r="AC224" s="40"/>
      <c r="AD224" s="40"/>
      <c r="AE224" s="40"/>
    </row>
    <row r="225" spans="10:31">
      <c r="J225" s="40"/>
      <c r="U225" s="40"/>
      <c r="V225" s="40"/>
      <c r="W225" s="40"/>
      <c r="X225" s="40"/>
      <c r="Y225" s="40"/>
      <c r="Z225" s="40"/>
      <c r="AA225" s="40"/>
      <c r="AB225" s="40"/>
      <c r="AC225" s="40"/>
      <c r="AD225" s="40"/>
      <c r="AE225" s="40"/>
    </row>
    <row r="226" spans="10:31">
      <c r="J226" s="40"/>
      <c r="U226" s="40"/>
      <c r="V226" s="40"/>
      <c r="W226" s="40"/>
      <c r="X226" s="40"/>
      <c r="Y226" s="40"/>
      <c r="Z226" s="40"/>
      <c r="AA226" s="40"/>
      <c r="AB226" s="40"/>
      <c r="AC226" s="40"/>
      <c r="AD226" s="40"/>
      <c r="AE226" s="40"/>
    </row>
    <row r="227" spans="10:31">
      <c r="J227" s="40"/>
      <c r="U227" s="40"/>
      <c r="V227" s="40"/>
      <c r="W227" s="40"/>
      <c r="X227" s="40"/>
      <c r="Y227" s="40"/>
      <c r="Z227" s="40"/>
      <c r="AA227" s="40"/>
      <c r="AB227" s="40"/>
      <c r="AC227" s="40"/>
      <c r="AD227" s="40"/>
      <c r="AE227" s="40"/>
    </row>
    <row r="228" spans="10:31">
      <c r="J228" s="40"/>
      <c r="U228" s="40"/>
      <c r="V228" s="40"/>
      <c r="W228" s="40"/>
      <c r="X228" s="40"/>
      <c r="Y228" s="40"/>
      <c r="Z228" s="40"/>
      <c r="AA228" s="40"/>
      <c r="AB228" s="40"/>
      <c r="AC228" s="40"/>
      <c r="AD228" s="40"/>
      <c r="AE228" s="40"/>
    </row>
    <row r="229" spans="10:31">
      <c r="J229" s="40"/>
      <c r="U229" s="40"/>
      <c r="V229" s="40"/>
      <c r="W229" s="40"/>
      <c r="X229" s="40"/>
      <c r="Y229" s="40"/>
      <c r="Z229" s="40"/>
      <c r="AA229" s="40"/>
      <c r="AB229" s="40"/>
      <c r="AC229" s="40"/>
      <c r="AD229" s="40"/>
      <c r="AE229" s="40"/>
    </row>
    <row r="230" spans="10:31">
      <c r="J230" s="40"/>
      <c r="U230" s="40"/>
      <c r="V230" s="40"/>
      <c r="W230" s="40"/>
      <c r="X230" s="40"/>
      <c r="Y230" s="40"/>
      <c r="Z230" s="40"/>
      <c r="AA230" s="40"/>
      <c r="AB230" s="40"/>
      <c r="AC230" s="40"/>
      <c r="AD230" s="40"/>
      <c r="AE230" s="40"/>
    </row>
    <row r="231" spans="10:31">
      <c r="J231" s="40"/>
      <c r="U231" s="40"/>
      <c r="V231" s="40"/>
      <c r="W231" s="40"/>
      <c r="X231" s="40"/>
      <c r="Y231" s="40"/>
      <c r="Z231" s="40"/>
      <c r="AA231" s="40"/>
      <c r="AB231" s="40"/>
      <c r="AC231" s="40"/>
      <c r="AD231" s="40"/>
      <c r="AE231" s="40"/>
    </row>
    <row r="232" spans="10:31">
      <c r="J232" s="40"/>
      <c r="U232" s="40"/>
      <c r="V232" s="40"/>
      <c r="W232" s="40"/>
      <c r="X232" s="40"/>
      <c r="Y232" s="40"/>
      <c r="Z232" s="40"/>
      <c r="AA232" s="40"/>
      <c r="AB232" s="40"/>
      <c r="AC232" s="40"/>
      <c r="AD232" s="40"/>
      <c r="AE232" s="40"/>
    </row>
    <row r="233" spans="10:31">
      <c r="J233" s="40"/>
      <c r="U233" s="40"/>
      <c r="V233" s="40"/>
      <c r="W233" s="40"/>
      <c r="X233" s="40"/>
      <c r="Y233" s="40"/>
      <c r="Z233" s="40"/>
      <c r="AA233" s="40"/>
      <c r="AB233" s="40"/>
      <c r="AC233" s="40"/>
      <c r="AD233" s="40"/>
      <c r="AE233" s="40"/>
    </row>
    <row r="234" spans="10:31">
      <c r="J234" s="40"/>
      <c r="U234" s="40"/>
      <c r="V234" s="40"/>
      <c r="W234" s="40"/>
      <c r="X234" s="40"/>
      <c r="Y234" s="40"/>
      <c r="Z234" s="40"/>
      <c r="AA234" s="40"/>
      <c r="AB234" s="40"/>
      <c r="AC234" s="40"/>
      <c r="AD234" s="40"/>
      <c r="AE234" s="40"/>
    </row>
    <row r="235" spans="10:31">
      <c r="J235" s="40"/>
      <c r="U235" s="40"/>
      <c r="V235" s="40"/>
      <c r="W235" s="40"/>
      <c r="X235" s="40"/>
      <c r="Y235" s="40"/>
      <c r="Z235" s="40"/>
      <c r="AA235" s="40"/>
      <c r="AB235" s="40"/>
      <c r="AC235" s="40"/>
      <c r="AD235" s="40"/>
      <c r="AE235" s="40"/>
    </row>
    <row r="236" spans="10:31">
      <c r="J236" s="40"/>
      <c r="U236" s="40"/>
      <c r="V236" s="40"/>
      <c r="W236" s="40"/>
      <c r="X236" s="40"/>
      <c r="Y236" s="40"/>
      <c r="Z236" s="40"/>
      <c r="AA236" s="40"/>
      <c r="AB236" s="40"/>
      <c r="AC236" s="40"/>
      <c r="AD236" s="40"/>
      <c r="AE236" s="40"/>
    </row>
    <row r="237" spans="10:31">
      <c r="J237" s="40"/>
      <c r="U237" s="40"/>
      <c r="V237" s="40"/>
      <c r="W237" s="40"/>
      <c r="X237" s="40"/>
      <c r="Y237" s="40"/>
      <c r="Z237" s="40"/>
      <c r="AA237" s="40"/>
      <c r="AB237" s="40"/>
      <c r="AC237" s="40"/>
      <c r="AD237" s="40"/>
      <c r="AE237" s="40"/>
    </row>
    <row r="238" spans="10:31">
      <c r="J238" s="40"/>
      <c r="U238" s="40"/>
      <c r="V238" s="40"/>
      <c r="W238" s="40"/>
      <c r="X238" s="40"/>
      <c r="Y238" s="40"/>
      <c r="Z238" s="40"/>
      <c r="AA238" s="40"/>
      <c r="AB238" s="40"/>
      <c r="AC238" s="40"/>
      <c r="AD238" s="40"/>
      <c r="AE238" s="40"/>
    </row>
    <row r="239" spans="10:31">
      <c r="J239" s="40"/>
      <c r="U239" s="40"/>
      <c r="V239" s="40"/>
      <c r="W239" s="40"/>
      <c r="X239" s="40"/>
      <c r="Y239" s="40"/>
      <c r="Z239" s="40"/>
      <c r="AA239" s="40"/>
      <c r="AB239" s="40"/>
      <c r="AC239" s="40"/>
      <c r="AD239" s="40"/>
      <c r="AE239" s="40"/>
    </row>
    <row r="240" spans="10:31">
      <c r="J240" s="40"/>
      <c r="U240" s="40"/>
      <c r="V240" s="40"/>
      <c r="W240" s="40"/>
      <c r="X240" s="40"/>
      <c r="Y240" s="40"/>
      <c r="Z240" s="40"/>
      <c r="AA240" s="40"/>
      <c r="AB240" s="40"/>
      <c r="AC240" s="40"/>
      <c r="AD240" s="40"/>
      <c r="AE240" s="40"/>
    </row>
    <row r="241" spans="10:31">
      <c r="J241" s="40"/>
      <c r="U241" s="40"/>
      <c r="V241" s="40"/>
      <c r="W241" s="40"/>
      <c r="X241" s="40"/>
      <c r="Y241" s="40"/>
      <c r="Z241" s="40"/>
      <c r="AA241" s="40"/>
      <c r="AB241" s="40"/>
      <c r="AC241" s="40"/>
      <c r="AD241" s="40"/>
      <c r="AE241" s="40"/>
    </row>
    <row r="242" spans="10:31">
      <c r="J242" s="40"/>
      <c r="U242" s="40"/>
      <c r="V242" s="40"/>
      <c r="W242" s="40"/>
      <c r="X242" s="40"/>
      <c r="Y242" s="40"/>
      <c r="Z242" s="40"/>
      <c r="AA242" s="40"/>
      <c r="AB242" s="40"/>
      <c r="AC242" s="40"/>
      <c r="AD242" s="40"/>
      <c r="AE242" s="40"/>
    </row>
    <row r="243" spans="10:31">
      <c r="J243" s="40"/>
      <c r="U243" s="40"/>
      <c r="V243" s="40"/>
      <c r="W243" s="40"/>
      <c r="X243" s="40"/>
      <c r="Y243" s="40"/>
      <c r="Z243" s="40"/>
      <c r="AA243" s="40"/>
      <c r="AB243" s="40"/>
      <c r="AC243" s="40"/>
      <c r="AD243" s="40"/>
      <c r="AE243" s="40"/>
    </row>
    <row r="244" spans="10:31">
      <c r="J244" s="40"/>
      <c r="U244" s="40"/>
      <c r="V244" s="40"/>
      <c r="W244" s="40"/>
      <c r="X244" s="40"/>
      <c r="Y244" s="40"/>
      <c r="Z244" s="40"/>
      <c r="AA244" s="40"/>
      <c r="AB244" s="40"/>
      <c r="AC244" s="40"/>
      <c r="AD244" s="40"/>
      <c r="AE244" s="40"/>
    </row>
    <row r="245" spans="10:31">
      <c r="J245" s="40"/>
      <c r="U245" s="40"/>
      <c r="V245" s="40"/>
      <c r="W245" s="40"/>
      <c r="X245" s="40"/>
      <c r="Y245" s="40"/>
      <c r="Z245" s="40"/>
      <c r="AA245" s="40"/>
      <c r="AB245" s="40"/>
      <c r="AC245" s="40"/>
      <c r="AD245" s="40"/>
      <c r="AE245" s="40"/>
    </row>
    <row r="246" spans="10:31">
      <c r="J246" s="40"/>
      <c r="U246" s="40"/>
      <c r="V246" s="40"/>
      <c r="W246" s="40"/>
      <c r="X246" s="40"/>
      <c r="Y246" s="40"/>
      <c r="Z246" s="40"/>
      <c r="AA246" s="40"/>
      <c r="AB246" s="40"/>
      <c r="AC246" s="40"/>
      <c r="AD246" s="40"/>
      <c r="AE246" s="40"/>
    </row>
    <row r="247" spans="10:31">
      <c r="J247" s="40"/>
      <c r="U247" s="40"/>
      <c r="V247" s="40"/>
      <c r="W247" s="40"/>
      <c r="X247" s="40"/>
      <c r="Y247" s="40"/>
      <c r="Z247" s="40"/>
      <c r="AA247" s="40"/>
      <c r="AB247" s="40"/>
      <c r="AC247" s="40"/>
      <c r="AD247" s="40"/>
      <c r="AE247" s="40"/>
    </row>
    <row r="248" spans="10:31">
      <c r="J248" s="40"/>
      <c r="U248" s="40"/>
      <c r="V248" s="40"/>
      <c r="W248" s="40"/>
      <c r="X248" s="40"/>
      <c r="Y248" s="40"/>
      <c r="Z248" s="40"/>
      <c r="AA248" s="40"/>
      <c r="AB248" s="40"/>
      <c r="AC248" s="40"/>
      <c r="AD248" s="40"/>
      <c r="AE248" s="40"/>
    </row>
    <row r="249" spans="10:31">
      <c r="J249" s="40"/>
      <c r="U249" s="40"/>
      <c r="V249" s="40"/>
      <c r="W249" s="40"/>
      <c r="X249" s="40"/>
      <c r="Y249" s="40"/>
      <c r="Z249" s="40"/>
      <c r="AA249" s="40"/>
      <c r="AB249" s="40"/>
      <c r="AC249" s="40"/>
      <c r="AD249" s="40"/>
      <c r="AE249" s="40"/>
    </row>
    <row r="250" spans="10:31">
      <c r="J250" s="40"/>
      <c r="U250" s="40"/>
      <c r="V250" s="40"/>
      <c r="W250" s="40"/>
      <c r="X250" s="40"/>
      <c r="Y250" s="40"/>
      <c r="Z250" s="40"/>
      <c r="AA250" s="40"/>
      <c r="AB250" s="40"/>
      <c r="AC250" s="40"/>
      <c r="AD250" s="40"/>
      <c r="AE250" s="40"/>
    </row>
    <row r="251" spans="10:31">
      <c r="J251" s="40"/>
      <c r="U251" s="40"/>
      <c r="V251" s="40"/>
      <c r="W251" s="40"/>
      <c r="X251" s="40"/>
      <c r="Y251" s="40"/>
      <c r="Z251" s="40"/>
      <c r="AA251" s="40"/>
      <c r="AB251" s="40"/>
      <c r="AC251" s="40"/>
      <c r="AD251" s="40"/>
      <c r="AE251" s="40"/>
    </row>
    <row r="252" spans="10:31">
      <c r="J252" s="40"/>
      <c r="U252" s="40"/>
      <c r="V252" s="40"/>
      <c r="W252" s="40"/>
      <c r="X252" s="40"/>
      <c r="Y252" s="40"/>
      <c r="Z252" s="40"/>
      <c r="AA252" s="40"/>
      <c r="AB252" s="40"/>
      <c r="AC252" s="40"/>
      <c r="AD252" s="40"/>
      <c r="AE252" s="40"/>
    </row>
    <row r="253" spans="10:31">
      <c r="J253" s="40"/>
      <c r="U253" s="40"/>
      <c r="V253" s="40"/>
      <c r="W253" s="40"/>
      <c r="X253" s="40"/>
      <c r="Y253" s="40"/>
      <c r="Z253" s="40"/>
      <c r="AA253" s="40"/>
      <c r="AB253" s="40"/>
      <c r="AC253" s="40"/>
      <c r="AD253" s="40"/>
      <c r="AE253" s="40"/>
    </row>
    <row r="254" spans="10:31">
      <c r="J254" s="40"/>
      <c r="U254" s="40"/>
      <c r="V254" s="40"/>
      <c r="W254" s="40"/>
      <c r="X254" s="40"/>
      <c r="Y254" s="40"/>
      <c r="Z254" s="40"/>
      <c r="AA254" s="40"/>
      <c r="AB254" s="40"/>
      <c r="AC254" s="40"/>
      <c r="AD254" s="40"/>
      <c r="AE254" s="40"/>
    </row>
    <row r="255" spans="10:31">
      <c r="J255" s="40"/>
      <c r="U255" s="40"/>
      <c r="V255" s="40"/>
      <c r="W255" s="40"/>
      <c r="X255" s="40"/>
      <c r="Y255" s="40"/>
      <c r="Z255" s="40"/>
      <c r="AA255" s="40"/>
      <c r="AB255" s="40"/>
      <c r="AC255" s="40"/>
      <c r="AD255" s="40"/>
      <c r="AE255" s="40"/>
    </row>
    <row r="256" spans="10:31">
      <c r="J256" s="40"/>
      <c r="U256" s="40"/>
      <c r="V256" s="40"/>
      <c r="W256" s="40"/>
      <c r="X256" s="40"/>
      <c r="Y256" s="40"/>
      <c r="Z256" s="40"/>
      <c r="AA256" s="40"/>
      <c r="AB256" s="40"/>
      <c r="AC256" s="40"/>
      <c r="AD256" s="40"/>
      <c r="AE256" s="40"/>
    </row>
    <row r="257" spans="10:31">
      <c r="J257" s="40"/>
      <c r="U257" s="40"/>
      <c r="V257" s="40"/>
      <c r="W257" s="40"/>
      <c r="X257" s="40"/>
      <c r="Y257" s="40"/>
      <c r="Z257" s="40"/>
      <c r="AA257" s="40"/>
      <c r="AB257" s="40"/>
      <c r="AC257" s="40"/>
      <c r="AD257" s="40"/>
      <c r="AE257" s="40"/>
    </row>
    <row r="258" spans="10:31">
      <c r="J258" s="40"/>
      <c r="U258" s="40"/>
      <c r="V258" s="40"/>
      <c r="W258" s="40"/>
      <c r="X258" s="40"/>
      <c r="Y258" s="40"/>
      <c r="Z258" s="40"/>
      <c r="AA258" s="40"/>
      <c r="AB258" s="40"/>
      <c r="AC258" s="40"/>
      <c r="AD258" s="40"/>
      <c r="AE258" s="40"/>
    </row>
    <row r="259" spans="10:31">
      <c r="J259" s="40"/>
      <c r="U259" s="40"/>
      <c r="V259" s="40"/>
      <c r="W259" s="40"/>
      <c r="X259" s="40"/>
      <c r="Y259" s="40"/>
      <c r="Z259" s="40"/>
      <c r="AA259" s="40"/>
      <c r="AB259" s="40"/>
      <c r="AC259" s="40"/>
      <c r="AD259" s="40"/>
      <c r="AE259" s="40"/>
    </row>
    <row r="260" spans="10:31">
      <c r="J260" s="40"/>
      <c r="U260" s="40"/>
      <c r="V260" s="40"/>
      <c r="W260" s="40"/>
      <c r="X260" s="40"/>
      <c r="Y260" s="40"/>
      <c r="Z260" s="40"/>
      <c r="AA260" s="40"/>
      <c r="AB260" s="40"/>
      <c r="AC260" s="40"/>
      <c r="AD260" s="40"/>
      <c r="AE260" s="40"/>
    </row>
    <row r="261" spans="10:31">
      <c r="J261" s="40"/>
      <c r="U261" s="40"/>
      <c r="V261" s="40"/>
      <c r="W261" s="40"/>
      <c r="X261" s="40"/>
      <c r="Y261" s="40"/>
      <c r="Z261" s="40"/>
      <c r="AA261" s="40"/>
      <c r="AB261" s="40"/>
      <c r="AC261" s="40"/>
      <c r="AD261" s="40"/>
      <c r="AE261" s="40"/>
    </row>
    <row r="262" spans="10:31">
      <c r="J262" s="40"/>
      <c r="U262" s="40"/>
      <c r="V262" s="40"/>
      <c r="W262" s="40"/>
      <c r="X262" s="40"/>
      <c r="Y262" s="40"/>
      <c r="Z262" s="40"/>
      <c r="AA262" s="40"/>
      <c r="AB262" s="40"/>
      <c r="AC262" s="40"/>
      <c r="AD262" s="40"/>
      <c r="AE262" s="40"/>
    </row>
    <row r="263" spans="10:31">
      <c r="J263" s="40"/>
      <c r="U263" s="40"/>
      <c r="V263" s="40"/>
      <c r="W263" s="40"/>
      <c r="X263" s="40"/>
      <c r="Y263" s="40"/>
      <c r="Z263" s="40"/>
      <c r="AA263" s="40"/>
      <c r="AB263" s="40"/>
      <c r="AC263" s="40"/>
      <c r="AD263" s="40"/>
      <c r="AE263" s="40"/>
    </row>
    <row r="264" spans="10:31">
      <c r="J264" s="40"/>
      <c r="U264" s="40"/>
      <c r="V264" s="40"/>
      <c r="W264" s="40"/>
      <c r="X264" s="40"/>
      <c r="Y264" s="40"/>
      <c r="Z264" s="40"/>
      <c r="AA264" s="40"/>
      <c r="AB264" s="40"/>
      <c r="AC264" s="40"/>
      <c r="AD264" s="40"/>
      <c r="AE264" s="40"/>
    </row>
    <row r="265" spans="10:31">
      <c r="J265" s="40"/>
      <c r="U265" s="40"/>
      <c r="V265" s="40"/>
      <c r="W265" s="40"/>
      <c r="X265" s="40"/>
      <c r="Y265" s="40"/>
      <c r="Z265" s="40"/>
      <c r="AA265" s="40"/>
      <c r="AB265" s="40"/>
      <c r="AC265" s="40"/>
      <c r="AD265" s="40"/>
      <c r="AE265" s="40"/>
    </row>
    <row r="266" spans="10:31">
      <c r="J266" s="40"/>
      <c r="U266" s="40"/>
      <c r="V266" s="40"/>
      <c r="W266" s="40"/>
      <c r="X266" s="40"/>
      <c r="Y266" s="40"/>
      <c r="Z266" s="40"/>
      <c r="AA266" s="40"/>
      <c r="AB266" s="40"/>
      <c r="AC266" s="40"/>
      <c r="AD266" s="40"/>
      <c r="AE266" s="40"/>
    </row>
    <row r="267" spans="10:31">
      <c r="J267" s="40"/>
      <c r="U267" s="40"/>
      <c r="V267" s="40"/>
      <c r="W267" s="40"/>
      <c r="X267" s="40"/>
      <c r="Y267" s="40"/>
      <c r="Z267" s="40"/>
      <c r="AA267" s="40"/>
      <c r="AB267" s="40"/>
      <c r="AC267" s="40"/>
      <c r="AD267" s="40"/>
      <c r="AE267" s="40"/>
    </row>
    <row r="268" spans="10:31">
      <c r="J268" s="40"/>
      <c r="U268" s="40"/>
      <c r="V268" s="40"/>
      <c r="W268" s="40"/>
      <c r="X268" s="40"/>
      <c r="Y268" s="40"/>
      <c r="Z268" s="40"/>
      <c r="AA268" s="40"/>
      <c r="AB268" s="40"/>
      <c r="AC268" s="40"/>
      <c r="AD268" s="40"/>
      <c r="AE268" s="40"/>
    </row>
    <row r="269" spans="10:31">
      <c r="J269" s="40"/>
      <c r="U269" s="40"/>
      <c r="V269" s="40"/>
      <c r="W269" s="40"/>
      <c r="X269" s="40"/>
      <c r="Y269" s="40"/>
      <c r="Z269" s="40"/>
      <c r="AA269" s="40"/>
      <c r="AB269" s="40"/>
      <c r="AC269" s="40"/>
      <c r="AD269" s="40"/>
      <c r="AE269" s="40"/>
    </row>
    <row r="270" spans="10:31">
      <c r="J270" s="40"/>
      <c r="U270" s="40"/>
      <c r="V270" s="40"/>
      <c r="W270" s="40"/>
      <c r="X270" s="40"/>
      <c r="Y270" s="40"/>
      <c r="Z270" s="40"/>
      <c r="AA270" s="40"/>
      <c r="AB270" s="40"/>
      <c r="AC270" s="40"/>
      <c r="AD270" s="40"/>
      <c r="AE270" s="40"/>
    </row>
    <row r="271" spans="10:31">
      <c r="J271" s="40"/>
      <c r="U271" s="40"/>
      <c r="V271" s="40"/>
      <c r="W271" s="40"/>
      <c r="X271" s="40"/>
      <c r="Y271" s="40"/>
      <c r="Z271" s="40"/>
      <c r="AA271" s="40"/>
      <c r="AB271" s="40"/>
      <c r="AC271" s="40"/>
      <c r="AD271" s="40"/>
      <c r="AE271" s="40"/>
    </row>
    <row r="272" spans="10:31">
      <c r="J272" s="40"/>
      <c r="U272" s="40"/>
      <c r="V272" s="40"/>
      <c r="W272" s="40"/>
      <c r="X272" s="40"/>
      <c r="Y272" s="40"/>
      <c r="Z272" s="40"/>
      <c r="AA272" s="40"/>
      <c r="AB272" s="40"/>
      <c r="AC272" s="40"/>
      <c r="AD272" s="40"/>
      <c r="AE272" s="40"/>
    </row>
    <row r="273" spans="10:31">
      <c r="J273" s="40"/>
      <c r="U273" s="40"/>
      <c r="V273" s="40"/>
      <c r="W273" s="40"/>
      <c r="X273" s="40"/>
      <c r="Y273" s="40"/>
      <c r="Z273" s="40"/>
      <c r="AA273" s="40"/>
      <c r="AB273" s="40"/>
      <c r="AC273" s="40"/>
      <c r="AD273" s="40"/>
      <c r="AE273" s="40"/>
    </row>
    <row r="274" spans="10:31">
      <c r="J274" s="40"/>
      <c r="U274" s="40"/>
      <c r="V274" s="40"/>
      <c r="W274" s="40"/>
      <c r="X274" s="40"/>
      <c r="Y274" s="40"/>
      <c r="Z274" s="40"/>
      <c r="AA274" s="40"/>
      <c r="AB274" s="40"/>
      <c r="AC274" s="40"/>
      <c r="AD274" s="40"/>
      <c r="AE274" s="40"/>
    </row>
    <row r="275" spans="10:31">
      <c r="J275" s="40"/>
      <c r="U275" s="40"/>
      <c r="V275" s="40"/>
      <c r="W275" s="40"/>
      <c r="X275" s="40"/>
      <c r="Y275" s="40"/>
      <c r="Z275" s="40"/>
      <c r="AA275" s="40"/>
      <c r="AB275" s="40"/>
      <c r="AC275" s="40"/>
      <c r="AD275" s="40"/>
      <c r="AE275" s="40"/>
    </row>
    <row r="276" spans="10:31">
      <c r="J276" s="40"/>
      <c r="U276" s="40"/>
      <c r="V276" s="40"/>
      <c r="W276" s="40"/>
      <c r="X276" s="40"/>
      <c r="Y276" s="40"/>
      <c r="Z276" s="40"/>
      <c r="AA276" s="40"/>
      <c r="AB276" s="40"/>
      <c r="AC276" s="40"/>
      <c r="AD276" s="40"/>
      <c r="AE276" s="40"/>
    </row>
    <row r="277" spans="10:31">
      <c r="J277" s="40"/>
      <c r="U277" s="40"/>
      <c r="V277" s="40"/>
      <c r="W277" s="40"/>
      <c r="X277" s="40"/>
      <c r="Y277" s="40"/>
      <c r="Z277" s="40"/>
      <c r="AA277" s="40"/>
      <c r="AB277" s="40"/>
      <c r="AC277" s="40"/>
      <c r="AD277" s="40"/>
      <c r="AE277" s="40"/>
    </row>
    <row r="278" spans="10:31">
      <c r="J278" s="40"/>
      <c r="U278" s="40"/>
      <c r="V278" s="40"/>
      <c r="W278" s="40"/>
      <c r="X278" s="40"/>
      <c r="Y278" s="40"/>
      <c r="Z278" s="40"/>
      <c r="AA278" s="40"/>
      <c r="AB278" s="40"/>
      <c r="AC278" s="40"/>
      <c r="AD278" s="40"/>
      <c r="AE278" s="40"/>
    </row>
    <row r="279" spans="10:31">
      <c r="J279" s="40"/>
      <c r="U279" s="40"/>
      <c r="V279" s="40"/>
      <c r="W279" s="40"/>
      <c r="X279" s="40"/>
      <c r="Y279" s="40"/>
      <c r="Z279" s="40"/>
      <c r="AA279" s="40"/>
      <c r="AB279" s="40"/>
      <c r="AC279" s="40"/>
      <c r="AD279" s="40"/>
      <c r="AE279" s="40"/>
    </row>
    <row r="280" spans="10:31">
      <c r="J280" s="40"/>
      <c r="U280" s="40"/>
      <c r="V280" s="40"/>
      <c r="W280" s="40"/>
      <c r="X280" s="40"/>
      <c r="Y280" s="40"/>
      <c r="Z280" s="40"/>
      <c r="AA280" s="40"/>
      <c r="AB280" s="40"/>
      <c r="AC280" s="40"/>
      <c r="AD280" s="40"/>
      <c r="AE280" s="40"/>
    </row>
    <row r="281" spans="10:31">
      <c r="J281" s="40"/>
      <c r="U281" s="40"/>
      <c r="V281" s="40"/>
      <c r="W281" s="40"/>
      <c r="X281" s="40"/>
      <c r="Y281" s="40"/>
      <c r="Z281" s="40"/>
      <c r="AA281" s="40"/>
      <c r="AB281" s="40"/>
      <c r="AC281" s="40"/>
      <c r="AD281" s="40"/>
      <c r="AE281" s="40"/>
    </row>
    <row r="282" spans="10:31">
      <c r="J282" s="40"/>
      <c r="U282" s="40"/>
      <c r="V282" s="40"/>
      <c r="W282" s="40"/>
      <c r="X282" s="40"/>
      <c r="Y282" s="40"/>
      <c r="Z282" s="40"/>
      <c r="AA282" s="40"/>
      <c r="AB282" s="40"/>
      <c r="AC282" s="40"/>
      <c r="AD282" s="40"/>
      <c r="AE282" s="40"/>
    </row>
    <row r="283" spans="10:31">
      <c r="J283" s="40"/>
      <c r="U283" s="40"/>
      <c r="V283" s="40"/>
      <c r="W283" s="40"/>
      <c r="X283" s="40"/>
      <c r="Y283" s="40"/>
      <c r="Z283" s="40"/>
      <c r="AA283" s="40"/>
      <c r="AB283" s="40"/>
      <c r="AC283" s="40"/>
      <c r="AD283" s="40"/>
      <c r="AE283" s="40"/>
    </row>
    <row r="284" spans="10:31">
      <c r="J284" s="40"/>
      <c r="U284" s="40"/>
      <c r="V284" s="40"/>
      <c r="W284" s="40"/>
      <c r="X284" s="40"/>
      <c r="Y284" s="40"/>
      <c r="Z284" s="40"/>
      <c r="AA284" s="40"/>
      <c r="AB284" s="40"/>
      <c r="AC284" s="40"/>
      <c r="AD284" s="40"/>
      <c r="AE284" s="40"/>
    </row>
    <row r="285" spans="10:31">
      <c r="J285" s="40"/>
      <c r="U285" s="40"/>
      <c r="V285" s="40"/>
      <c r="W285" s="40"/>
      <c r="X285" s="40"/>
      <c r="Y285" s="40"/>
      <c r="Z285" s="40"/>
      <c r="AA285" s="40"/>
      <c r="AB285" s="40"/>
      <c r="AC285" s="40"/>
      <c r="AD285" s="40"/>
      <c r="AE285" s="40"/>
    </row>
    <row r="286" spans="10:31">
      <c r="J286" s="40"/>
      <c r="U286" s="40"/>
      <c r="V286" s="40"/>
      <c r="W286" s="40"/>
      <c r="X286" s="40"/>
      <c r="Y286" s="40"/>
      <c r="Z286" s="40"/>
      <c r="AA286" s="40"/>
      <c r="AB286" s="40"/>
      <c r="AC286" s="40"/>
      <c r="AD286" s="40"/>
      <c r="AE286" s="40"/>
    </row>
    <row r="287" spans="10:31">
      <c r="J287" s="40"/>
      <c r="U287" s="40"/>
      <c r="V287" s="40"/>
      <c r="W287" s="40"/>
      <c r="X287" s="40"/>
      <c r="Y287" s="40"/>
      <c r="Z287" s="40"/>
      <c r="AA287" s="40"/>
      <c r="AB287" s="40"/>
      <c r="AC287" s="40"/>
      <c r="AD287" s="40"/>
      <c r="AE287" s="40"/>
    </row>
    <row r="288" spans="10:31">
      <c r="J288" s="40"/>
      <c r="U288" s="40"/>
      <c r="V288" s="40"/>
      <c r="W288" s="40"/>
      <c r="X288" s="40"/>
      <c r="Y288" s="40"/>
      <c r="Z288" s="40"/>
      <c r="AA288" s="40"/>
      <c r="AB288" s="40"/>
      <c r="AC288" s="40"/>
      <c r="AD288" s="40"/>
      <c r="AE288" s="40"/>
    </row>
    <row r="289" spans="4:75">
      <c r="J289" s="40"/>
      <c r="U289" s="40"/>
      <c r="V289" s="40"/>
      <c r="W289" s="40"/>
      <c r="X289" s="40"/>
      <c r="Y289" s="40"/>
      <c r="Z289" s="40"/>
      <c r="AA289" s="40"/>
      <c r="AB289" s="40"/>
      <c r="AC289" s="40"/>
      <c r="AD289" s="40"/>
      <c r="AE289" s="40"/>
    </row>
    <row r="290" spans="4:75" s="4" customFormat="1">
      <c r="D290" s="835"/>
      <c r="E290" s="835"/>
      <c r="F290" s="1482"/>
      <c r="L290" s="6"/>
      <c r="P290" s="835"/>
      <c r="Q290" s="835"/>
      <c r="AY290" s="835"/>
      <c r="AZ290" s="835"/>
      <c r="BA290" s="835"/>
      <c r="BB290" s="835"/>
      <c r="BC290" s="835"/>
      <c r="BD290" s="39"/>
      <c r="BE290" s="1057"/>
      <c r="BF290" s="1057"/>
      <c r="BG290" s="1057"/>
      <c r="BH290" s="1057"/>
      <c r="BI290" s="1057"/>
      <c r="BJ290" s="1057"/>
      <c r="BK290" s="1057"/>
      <c r="BL290" s="1057"/>
      <c r="BM290" s="1057"/>
      <c r="BN290" s="1057"/>
      <c r="BO290" s="1057"/>
      <c r="BP290" s="1057"/>
      <c r="BQ290" s="1057"/>
      <c r="BR290" s="1057"/>
      <c r="BS290" s="1057"/>
      <c r="BT290" s="1057"/>
      <c r="BU290" s="1057"/>
      <c r="BV290" s="1057"/>
      <c r="BW290" s="6"/>
    </row>
    <row r="291" spans="4:75" s="4" customFormat="1">
      <c r="D291" s="835"/>
      <c r="E291" s="835"/>
      <c r="F291" s="1482"/>
      <c r="L291" s="6"/>
      <c r="P291" s="835"/>
      <c r="Q291" s="835"/>
      <c r="AY291" s="835"/>
      <c r="AZ291" s="835"/>
      <c r="BA291" s="835"/>
      <c r="BB291" s="835"/>
      <c r="BC291" s="835"/>
      <c r="BD291" s="39"/>
      <c r="BE291" s="1057"/>
      <c r="BF291" s="1057"/>
      <c r="BG291" s="1057"/>
      <c r="BH291" s="1057"/>
      <c r="BI291" s="1057"/>
      <c r="BJ291" s="1057"/>
      <c r="BK291" s="1057"/>
      <c r="BL291" s="1057"/>
      <c r="BM291" s="1057"/>
      <c r="BN291" s="1057"/>
      <c r="BO291" s="1057"/>
      <c r="BP291" s="1057"/>
      <c r="BQ291" s="1057"/>
      <c r="BR291" s="1057"/>
      <c r="BS291" s="1057"/>
      <c r="BT291" s="1057"/>
      <c r="BU291" s="1057"/>
      <c r="BV291" s="1057"/>
      <c r="BW291" s="6"/>
    </row>
    <row r="292" spans="4:75" s="4" customFormat="1">
      <c r="D292" s="835"/>
      <c r="E292" s="835"/>
      <c r="F292" s="1482"/>
      <c r="L292" s="6"/>
      <c r="P292" s="835"/>
      <c r="Q292" s="835"/>
      <c r="AY292" s="835"/>
      <c r="AZ292" s="835"/>
      <c r="BA292" s="835"/>
      <c r="BB292" s="835"/>
      <c r="BC292" s="835"/>
      <c r="BD292" s="39"/>
      <c r="BE292" s="1057"/>
      <c r="BF292" s="1057"/>
      <c r="BG292" s="1057"/>
      <c r="BH292" s="1057"/>
      <c r="BI292" s="1057"/>
      <c r="BJ292" s="1057"/>
      <c r="BK292" s="1057"/>
      <c r="BL292" s="1057"/>
      <c r="BM292" s="1057"/>
      <c r="BN292" s="1057"/>
      <c r="BO292" s="1057"/>
      <c r="BP292" s="1057"/>
      <c r="BQ292" s="1057"/>
      <c r="BR292" s="1057"/>
      <c r="BS292" s="1057"/>
      <c r="BT292" s="1057"/>
      <c r="BU292" s="1057"/>
      <c r="BV292" s="1057"/>
      <c r="BW292" s="6"/>
    </row>
    <row r="293" spans="4:75" s="4" customFormat="1">
      <c r="D293" s="835"/>
      <c r="E293" s="835"/>
      <c r="F293" s="1482"/>
      <c r="L293" s="6"/>
      <c r="P293" s="835"/>
      <c r="Q293" s="835"/>
      <c r="AY293" s="835"/>
      <c r="AZ293" s="835"/>
      <c r="BA293" s="835"/>
      <c r="BB293" s="835"/>
      <c r="BC293" s="835"/>
      <c r="BD293" s="39"/>
      <c r="BE293" s="1057"/>
      <c r="BF293" s="1057"/>
      <c r="BG293" s="1057"/>
      <c r="BH293" s="1057"/>
      <c r="BI293" s="1057"/>
      <c r="BJ293" s="1057"/>
      <c r="BK293" s="1057"/>
      <c r="BL293" s="1057"/>
      <c r="BM293" s="1057"/>
      <c r="BN293" s="1057"/>
      <c r="BO293" s="1057"/>
      <c r="BP293" s="1057"/>
      <c r="BQ293" s="1057"/>
      <c r="BR293" s="1057"/>
      <c r="BS293" s="1057"/>
      <c r="BT293" s="1057"/>
      <c r="BU293" s="1057"/>
      <c r="BV293" s="1057"/>
      <c r="BW293" s="6"/>
    </row>
    <row r="294" spans="4:75" s="4" customFormat="1">
      <c r="D294" s="835"/>
      <c r="E294" s="835"/>
      <c r="F294" s="1482"/>
      <c r="L294" s="6"/>
      <c r="P294" s="835"/>
      <c r="Q294" s="835"/>
      <c r="AY294" s="835"/>
      <c r="AZ294" s="835"/>
      <c r="BA294" s="835"/>
      <c r="BB294" s="835"/>
      <c r="BC294" s="835"/>
      <c r="BD294" s="39"/>
      <c r="BE294" s="1057"/>
      <c r="BF294" s="1057"/>
      <c r="BG294" s="1057"/>
      <c r="BH294" s="1057"/>
      <c r="BI294" s="1057"/>
      <c r="BJ294" s="1057"/>
      <c r="BK294" s="1057"/>
      <c r="BL294" s="1057"/>
      <c r="BM294" s="1057"/>
      <c r="BN294" s="1057"/>
      <c r="BO294" s="1057"/>
      <c r="BP294" s="1057"/>
      <c r="BQ294" s="1057"/>
      <c r="BR294" s="1057"/>
      <c r="BS294" s="1057"/>
      <c r="BT294" s="1057"/>
      <c r="BU294" s="1057"/>
      <c r="BV294" s="1057"/>
      <c r="BW294" s="6"/>
    </row>
    <row r="295" spans="4:75" s="4" customFormat="1">
      <c r="D295" s="835"/>
      <c r="E295" s="835"/>
      <c r="F295" s="1482"/>
      <c r="L295" s="6"/>
      <c r="P295" s="835"/>
      <c r="Q295" s="835"/>
      <c r="AY295" s="835"/>
      <c r="AZ295" s="835"/>
      <c r="BA295" s="835"/>
      <c r="BB295" s="835"/>
      <c r="BC295" s="835"/>
      <c r="BD295" s="39"/>
      <c r="BE295" s="1057"/>
      <c r="BF295" s="1057"/>
      <c r="BG295" s="1057"/>
      <c r="BH295" s="1057"/>
      <c r="BI295" s="1057"/>
      <c r="BJ295" s="1057"/>
      <c r="BK295" s="1057"/>
      <c r="BL295" s="1057"/>
      <c r="BM295" s="1057"/>
      <c r="BN295" s="1057"/>
      <c r="BO295" s="1057"/>
      <c r="BP295" s="1057"/>
      <c r="BQ295" s="1057"/>
      <c r="BR295" s="1057"/>
      <c r="BS295" s="1057"/>
      <c r="BT295" s="1057"/>
      <c r="BU295" s="1057"/>
      <c r="BV295" s="1057"/>
      <c r="BW295" s="6"/>
    </row>
    <row r="296" spans="4:75" s="4" customFormat="1">
      <c r="D296" s="835"/>
      <c r="E296" s="835"/>
      <c r="F296" s="1482"/>
      <c r="L296" s="6"/>
      <c r="P296" s="835"/>
      <c r="Q296" s="835"/>
      <c r="AY296" s="835"/>
      <c r="AZ296" s="835"/>
      <c r="BA296" s="835"/>
      <c r="BB296" s="835"/>
      <c r="BC296" s="835"/>
      <c r="BD296" s="39"/>
      <c r="BE296" s="1057"/>
      <c r="BF296" s="1057"/>
      <c r="BG296" s="1057"/>
      <c r="BH296" s="1057"/>
      <c r="BI296" s="1057"/>
      <c r="BJ296" s="1057"/>
      <c r="BK296" s="1057"/>
      <c r="BL296" s="1057"/>
      <c r="BM296" s="1057"/>
      <c r="BN296" s="1057"/>
      <c r="BO296" s="1057"/>
      <c r="BP296" s="1057"/>
      <c r="BQ296" s="1057"/>
      <c r="BR296" s="1057"/>
      <c r="BS296" s="1057"/>
      <c r="BT296" s="1057"/>
      <c r="BU296" s="1057"/>
      <c r="BV296" s="1057"/>
      <c r="BW296" s="6"/>
    </row>
  </sheetData>
  <sheetProtection algorithmName="SHA-512" hashValue="uuiy1V0vL7QBQadw+oGUtCMdVrAZMBXBmyqOd/41FCz9AmHme/UARRRr6Wj5hFhBSAslIoija5YYHA8kgQF+vA==" saltValue="bQwCXtbVZfFaEqipWe6clQ==" spinCount="100000" sheet="1" objects="1" scenarios="1"/>
  <mergeCells count="104">
    <mergeCell ref="D39:E39"/>
    <mergeCell ref="D40:E40"/>
    <mergeCell ref="D41:E41"/>
    <mergeCell ref="G50:I50"/>
    <mergeCell ref="G51:I51"/>
    <mergeCell ref="G53:I53"/>
    <mergeCell ref="G54:I54"/>
    <mergeCell ref="B46:J46"/>
    <mergeCell ref="B61:E61"/>
    <mergeCell ref="G56:I56"/>
    <mergeCell ref="G57:I57"/>
    <mergeCell ref="G59:I59"/>
    <mergeCell ref="B50:D50"/>
    <mergeCell ref="B51:D51"/>
    <mergeCell ref="B53:D53"/>
    <mergeCell ref="B54:D54"/>
    <mergeCell ref="B56:D56"/>
    <mergeCell ref="B57:D57"/>
    <mergeCell ref="B59:D59"/>
    <mergeCell ref="F61:G61"/>
    <mergeCell ref="D30:E30"/>
    <mergeCell ref="D31:E31"/>
    <mergeCell ref="D32:E32"/>
    <mergeCell ref="D33:E33"/>
    <mergeCell ref="D34:E34"/>
    <mergeCell ref="D35:E35"/>
    <mergeCell ref="D36:E36"/>
    <mergeCell ref="D37:E37"/>
    <mergeCell ref="D38:E38"/>
    <mergeCell ref="P40:Q40"/>
    <mergeCell ref="P41:Q41"/>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26:E26"/>
    <mergeCell ref="D27:E27"/>
    <mergeCell ref="D28:E28"/>
    <mergeCell ref="D29:E29"/>
    <mergeCell ref="P31:Q31"/>
    <mergeCell ref="P32:Q32"/>
    <mergeCell ref="P33:Q33"/>
    <mergeCell ref="P34:Q34"/>
    <mergeCell ref="P35:Q35"/>
    <mergeCell ref="P36:Q36"/>
    <mergeCell ref="P37:Q37"/>
    <mergeCell ref="P38:Q38"/>
    <mergeCell ref="P39:Q39"/>
    <mergeCell ref="P22:Q22"/>
    <mergeCell ref="P23:Q23"/>
    <mergeCell ref="P24:Q24"/>
    <mergeCell ref="P25:Q25"/>
    <mergeCell ref="P26:Q26"/>
    <mergeCell ref="P27:Q27"/>
    <mergeCell ref="P28:Q28"/>
    <mergeCell ref="P29:Q29"/>
    <mergeCell ref="P30:Q30"/>
    <mergeCell ref="P6:Q6"/>
    <mergeCell ref="P7:Q7"/>
    <mergeCell ref="AH5:AL5"/>
    <mergeCell ref="AT5:AX5"/>
    <mergeCell ref="AN5:AR5"/>
    <mergeCell ref="P18:Q18"/>
    <mergeCell ref="P19:Q19"/>
    <mergeCell ref="P20:Q20"/>
    <mergeCell ref="P21:Q21"/>
    <mergeCell ref="BE5:BI5"/>
    <mergeCell ref="BJ5:BN5"/>
    <mergeCell ref="BO5:BS5"/>
    <mergeCell ref="N46:U46"/>
    <mergeCell ref="AD5:AF5"/>
    <mergeCell ref="AA5:AB5"/>
    <mergeCell ref="X5:Y5"/>
    <mergeCell ref="G5:G6"/>
    <mergeCell ref="B44:J44"/>
    <mergeCell ref="P8:Q8"/>
    <mergeCell ref="P9:Q9"/>
    <mergeCell ref="P10:Q10"/>
    <mergeCell ref="P11:Q11"/>
    <mergeCell ref="P12:Q12"/>
    <mergeCell ref="P13:Q13"/>
    <mergeCell ref="P14:Q14"/>
    <mergeCell ref="P15:Q15"/>
    <mergeCell ref="P17:Q17"/>
    <mergeCell ref="P16:Q16"/>
    <mergeCell ref="BA5:BC5"/>
    <mergeCell ref="D7:E7"/>
    <mergeCell ref="D6:E6"/>
    <mergeCell ref="D5:E5"/>
    <mergeCell ref="P5:Q5"/>
  </mergeCells>
  <dataValidations count="6">
    <dataValidation type="list" errorStyle="warning" showInputMessage="1" showErrorMessage="1" errorTitle="SmartDox" error="The value you entered for the dropdown is not valid." sqref="N7:N41 B7:B41" xr:uid="{00000000-0002-0000-0500-000000000000}">
      <formula1>SD_D_PL_TCUnitMixType_Name</formula1>
    </dataValidation>
    <dataValidation type="list" errorStyle="warning" showInputMessage="1" showErrorMessage="1" errorTitle="SmartDox" error="The value you entered for the dropdown is not valid." sqref="I7:I41 T7:T41" xr:uid="{00000000-0002-0000-0500-000001000000}">
      <formula1>SD_D_PL_IncomeTarget_Name</formula1>
    </dataValidation>
    <dataValidation type="list" allowBlank="1" showInputMessage="1" showErrorMessage="1" sqref="D7:D41" xr:uid="{00000000-0002-0000-0500-000002000000}">
      <formula1>$V$1:$V$4</formula1>
    </dataValidation>
    <dataValidation type="list" errorStyle="warning" showInputMessage="1" showErrorMessage="1" errorTitle="SmartDox" error="The value you entered for the dropdown is not valid." sqref="AH6:AL6" xr:uid="{2A4689CD-57DA-4720-AA31-6FF9F9D10409}">
      <formula1>SD_D_PL_TCUnitType_Name</formula1>
    </dataValidation>
    <dataValidation type="list" errorStyle="warning" showInputMessage="1" showErrorMessage="1" errorTitle="SmartDox" error="The value you entered for the dropdown is not valid." sqref="X50 AD50:AF50" xr:uid="{F4325BBC-7D14-4A36-8A95-2414B0805825}">
      <formula1>SD_D_PL_IssuingAuthority_Name</formula1>
    </dataValidation>
    <dataValidation type="list" allowBlank="1" showInputMessage="1" showErrorMessage="1" sqref="F7:F41" xr:uid="{022AA79B-88B0-4499-8194-14C2BA97F82C}">
      <formula1>$V$6:$V$8</formula1>
    </dataValidation>
  </dataValidations>
  <pageMargins left="0.75" right="0.5" top="0.5" bottom="0.75" header="0" footer="0.5"/>
  <pageSetup scale="79" orientation="portrait" verticalDpi="4294967292" r:id="rId1"/>
  <headerFooter alignWithMargins="0">
    <oddFooter>&amp;C&amp;A&amp;R&amp;D &amp;T</oddFooter>
  </headerFooter>
  <rowBreaks count="4" manualBreakCount="4">
    <brk id="96" max="65535" man="1"/>
    <brk id="148" max="65535" man="1"/>
    <brk id="214" max="65535" man="1"/>
    <brk id="264" max="65535"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AO138"/>
  <sheetViews>
    <sheetView workbookViewId="0"/>
  </sheetViews>
  <sheetFormatPr defaultColWidth="11.42578125" defaultRowHeight="12.75"/>
  <cols>
    <col min="1" max="1" width="4.140625" style="104" customWidth="1"/>
    <col min="2" max="2" width="37.28515625" style="104" customWidth="1"/>
    <col min="3" max="3" width="2.7109375" style="104" customWidth="1"/>
    <col min="4" max="4" width="15.7109375" style="104" customWidth="1"/>
    <col min="5" max="6" width="2.7109375" style="104" customWidth="1"/>
    <col min="7" max="7" width="15.7109375" style="104" customWidth="1"/>
    <col min="8" max="8" width="2.7109375" style="104" customWidth="1"/>
    <col min="9" max="9" width="15.7109375" style="104" customWidth="1"/>
    <col min="10" max="10" width="2.7109375" style="104" customWidth="1"/>
    <col min="11" max="11" width="15.7109375" style="104" customWidth="1"/>
    <col min="12" max="12" width="11.42578125" style="100"/>
    <col min="13" max="13" width="5.7109375" style="101" customWidth="1"/>
    <col min="14" max="14" width="4.140625" style="104" hidden="1" customWidth="1"/>
    <col min="15" max="15" width="37.28515625" style="104" hidden="1" customWidth="1"/>
    <col min="16" max="16" width="2.7109375" style="104" hidden="1" customWidth="1"/>
    <col min="17" max="17" width="15.7109375" style="104" hidden="1" customWidth="1"/>
    <col min="18" max="19" width="2.7109375" style="104" hidden="1" customWidth="1"/>
    <col min="20" max="20" width="15.7109375" style="104" hidden="1" customWidth="1"/>
    <col min="21" max="21" width="2.7109375" style="104" hidden="1" customWidth="1"/>
    <col min="22" max="22" width="15.7109375" style="104" hidden="1" customWidth="1"/>
    <col min="23" max="23" width="2.7109375" style="104" hidden="1" customWidth="1"/>
    <col min="24" max="24" width="15.7109375" style="104" hidden="1" customWidth="1"/>
    <col min="25" max="25" width="5.7109375" style="106" customWidth="1"/>
    <col min="26" max="36" width="10.7109375" style="104" customWidth="1"/>
    <col min="37" max="16384" width="11.42578125" style="100"/>
  </cols>
  <sheetData>
    <row r="1" spans="1:26">
      <c r="A1" s="1302" t="str">
        <f>IF('FORM 1040-1'!D15="","",'FORM 1040-1'!D15)</f>
        <v/>
      </c>
      <c r="B1" s="1297"/>
      <c r="C1" s="1297"/>
      <c r="D1" s="1297"/>
      <c r="E1" s="1297"/>
      <c r="F1" s="1297"/>
      <c r="G1" s="1297"/>
      <c r="H1" s="1297"/>
      <c r="I1" s="1297"/>
      <c r="J1" s="1297"/>
      <c r="K1" s="1294" t="str">
        <f>IF('FORM 1040-1'!$E$12="","",'FORM 1040-1'!$E$12)</f>
        <v/>
      </c>
    </row>
    <row r="3" spans="1:26" ht="15.75" customHeight="1">
      <c r="A3" s="1704" t="s">
        <v>2305</v>
      </c>
      <c r="B3" s="1704"/>
      <c r="C3" s="1704"/>
      <c r="D3" s="1704"/>
      <c r="E3" s="1704"/>
      <c r="F3" s="1704"/>
      <c r="G3" s="1704"/>
      <c r="H3" s="1704"/>
      <c r="I3" s="1704"/>
      <c r="J3" s="1704"/>
      <c r="K3" s="1704"/>
      <c r="N3" s="1672" t="s">
        <v>1490</v>
      </c>
      <c r="O3" s="1672"/>
      <c r="P3" s="1672"/>
      <c r="Q3" s="1672"/>
      <c r="R3" s="1672"/>
      <c r="S3" s="1672"/>
      <c r="T3" s="1672"/>
      <c r="U3" s="1672"/>
      <c r="V3" s="1672"/>
      <c r="W3" s="1672"/>
      <c r="X3" s="1672"/>
      <c r="Y3" s="102"/>
      <c r="Z3" s="103"/>
    </row>
    <row r="4" spans="1:26" ht="12.95" customHeight="1">
      <c r="A4" s="12"/>
      <c r="B4" s="4"/>
      <c r="C4" s="4"/>
      <c r="D4" s="4"/>
      <c r="E4" s="4"/>
      <c r="F4" s="105"/>
      <c r="G4" s="105"/>
      <c r="H4" s="105"/>
      <c r="I4" s="105"/>
      <c r="J4" s="105"/>
      <c r="K4" s="105"/>
      <c r="N4" s="12"/>
      <c r="O4" s="4"/>
      <c r="P4" s="4"/>
      <c r="Q4" s="4"/>
      <c r="R4" s="4"/>
      <c r="S4" s="105"/>
      <c r="T4" s="105"/>
      <c r="U4" s="105"/>
      <c r="V4" s="105"/>
      <c r="W4" s="105"/>
      <c r="X4" s="105"/>
    </row>
    <row r="5" spans="1:26">
      <c r="A5" s="12" t="s">
        <v>52</v>
      </c>
      <c r="B5" s="1593" t="s">
        <v>781</v>
      </c>
      <c r="C5" s="1593"/>
      <c r="D5" s="1593"/>
      <c r="E5" s="4"/>
      <c r="F5" s="105"/>
      <c r="G5" s="107"/>
      <c r="H5" s="107"/>
      <c r="I5" s="107"/>
      <c r="J5" s="107"/>
      <c r="K5" s="107"/>
      <c r="N5" s="12" t="s">
        <v>52</v>
      </c>
      <c r="O5" s="1593" t="s">
        <v>781</v>
      </c>
      <c r="P5" s="1593"/>
      <c r="Q5" s="1593"/>
      <c r="R5" s="4"/>
      <c r="S5" s="105"/>
      <c r="T5" s="107"/>
      <c r="U5" s="107"/>
      <c r="V5" s="107"/>
      <c r="W5" s="107"/>
      <c r="X5" s="107"/>
    </row>
    <row r="6" spans="1:26" ht="12.95" customHeight="1" thickBot="1">
      <c r="A6" s="4"/>
      <c r="B6" s="4"/>
      <c r="C6" s="4"/>
      <c r="D6" s="4"/>
      <c r="E6" s="4"/>
      <c r="F6" s="105"/>
      <c r="G6" s="105"/>
      <c r="H6" s="105"/>
      <c r="I6" s="105"/>
      <c r="J6" s="105"/>
      <c r="K6" s="105"/>
      <c r="N6" s="4"/>
      <c r="O6" s="4"/>
      <c r="P6" s="4"/>
      <c r="Q6" s="4"/>
      <c r="R6" s="4"/>
      <c r="S6" s="105"/>
      <c r="T6" s="105"/>
      <c r="U6" s="105"/>
      <c r="V6" s="105"/>
      <c r="W6" s="105"/>
      <c r="X6" s="105"/>
    </row>
    <row r="7" spans="1:26" ht="14.1" customHeight="1" thickTop="1">
      <c r="A7" s="4"/>
      <c r="B7" s="1613" t="s">
        <v>98</v>
      </c>
      <c r="C7" s="1614"/>
      <c r="D7" s="1615"/>
      <c r="E7" s="108"/>
      <c r="F7" s="105"/>
      <c r="G7" s="109" t="s">
        <v>760</v>
      </c>
      <c r="H7" s="12"/>
      <c r="I7" s="46" t="s">
        <v>760</v>
      </c>
      <c r="J7" s="12"/>
      <c r="K7" s="46" t="s">
        <v>760</v>
      </c>
      <c r="N7" s="4"/>
      <c r="O7" s="1613" t="s">
        <v>98</v>
      </c>
      <c r="P7" s="1614"/>
      <c r="Q7" s="1615"/>
      <c r="R7" s="108"/>
      <c r="S7" s="105"/>
      <c r="T7" s="109" t="s">
        <v>760</v>
      </c>
      <c r="U7" s="12"/>
      <c r="V7" s="46" t="s">
        <v>760</v>
      </c>
      <c r="W7" s="12"/>
      <c r="X7" s="46" t="s">
        <v>760</v>
      </c>
    </row>
    <row r="8" spans="1:26" ht="14.1" customHeight="1">
      <c r="A8" s="4"/>
      <c r="B8" s="1698" t="s">
        <v>762</v>
      </c>
      <c r="C8" s="1699"/>
      <c r="D8" s="1700"/>
      <c r="E8" s="108"/>
      <c r="F8" s="105"/>
      <c r="G8" s="110" t="s">
        <v>163</v>
      </c>
      <c r="H8" s="4"/>
      <c r="I8" s="110" t="s">
        <v>164</v>
      </c>
      <c r="J8" s="4"/>
      <c r="K8" s="110" t="s">
        <v>764</v>
      </c>
      <c r="N8" s="4"/>
      <c r="O8" s="1698" t="s">
        <v>762</v>
      </c>
      <c r="P8" s="1699"/>
      <c r="Q8" s="1700"/>
      <c r="R8" s="108"/>
      <c r="S8" s="105"/>
      <c r="T8" s="110" t="s">
        <v>163</v>
      </c>
      <c r="U8" s="4"/>
      <c r="V8" s="110" t="s">
        <v>164</v>
      </c>
      <c r="W8" s="4"/>
      <c r="X8" s="110" t="s">
        <v>764</v>
      </c>
    </row>
    <row r="9" spans="1:26" ht="14.1" customHeight="1">
      <c r="A9" s="4"/>
      <c r="B9" s="1698"/>
      <c r="C9" s="1699"/>
      <c r="D9" s="1700"/>
      <c r="E9" s="108"/>
      <c r="F9" s="105"/>
      <c r="G9" s="110" t="s">
        <v>761</v>
      </c>
      <c r="H9" s="4"/>
      <c r="I9" s="110" t="s">
        <v>761</v>
      </c>
      <c r="J9" s="4"/>
      <c r="K9" s="110" t="s">
        <v>765</v>
      </c>
      <c r="N9" s="4"/>
      <c r="O9" s="1698"/>
      <c r="P9" s="1699"/>
      <c r="Q9" s="1700"/>
      <c r="R9" s="108"/>
      <c r="S9" s="105"/>
      <c r="T9" s="110" t="s">
        <v>759</v>
      </c>
      <c r="U9" s="4"/>
      <c r="V9" s="110" t="s">
        <v>761</v>
      </c>
      <c r="W9" s="4"/>
      <c r="X9" s="110" t="s">
        <v>765</v>
      </c>
    </row>
    <row r="10" spans="1:26" ht="14.1" customHeight="1" thickBot="1">
      <c r="A10" s="4"/>
      <c r="B10" s="1701"/>
      <c r="C10" s="1702"/>
      <c r="D10" s="1703"/>
      <c r="E10" s="108"/>
      <c r="F10" s="105"/>
      <c r="G10" s="51" t="s">
        <v>165</v>
      </c>
      <c r="H10" s="26"/>
      <c r="I10" s="51" t="s">
        <v>165</v>
      </c>
      <c r="J10" s="26"/>
      <c r="K10" s="51" t="s">
        <v>766</v>
      </c>
      <c r="N10" s="4"/>
      <c r="O10" s="1701"/>
      <c r="P10" s="1702"/>
      <c r="Q10" s="1703"/>
      <c r="R10" s="108"/>
      <c r="S10" s="105"/>
      <c r="T10" s="51" t="s">
        <v>165</v>
      </c>
      <c r="U10" s="26"/>
      <c r="V10" s="51" t="s">
        <v>165</v>
      </c>
      <c r="W10" s="26"/>
      <c r="X10" s="51" t="s">
        <v>766</v>
      </c>
    </row>
    <row r="11" spans="1:26" ht="12.95" customHeight="1" thickTop="1">
      <c r="A11" s="85"/>
      <c r="B11" s="8"/>
      <c r="C11" s="8"/>
      <c r="D11" s="8"/>
      <c r="E11" s="8"/>
      <c r="F11" s="105"/>
      <c r="G11" s="111"/>
      <c r="H11" s="111"/>
      <c r="I11" s="111"/>
      <c r="J11" s="111"/>
      <c r="K11" s="111"/>
      <c r="N11" s="85"/>
      <c r="O11" s="8"/>
      <c r="P11" s="8"/>
      <c r="Q11" s="8"/>
      <c r="R11" s="8"/>
      <c r="S11" s="105"/>
      <c r="T11" s="111"/>
      <c r="U11" s="111"/>
      <c r="V11" s="111"/>
      <c r="W11" s="111"/>
      <c r="X11" s="111"/>
    </row>
    <row r="12" spans="1:26" ht="18" customHeight="1" thickBot="1">
      <c r="A12" s="85"/>
      <c r="B12" s="1696" t="s">
        <v>763</v>
      </c>
      <c r="C12" s="1696"/>
      <c r="D12" s="1696"/>
      <c r="E12" s="8"/>
      <c r="F12" s="105"/>
      <c r="G12" s="112"/>
      <c r="H12" s="113"/>
      <c r="I12" s="112"/>
      <c r="J12" s="113"/>
      <c r="K12" s="112"/>
      <c r="N12" s="85"/>
      <c r="O12" s="1696" t="s">
        <v>763</v>
      </c>
      <c r="P12" s="1696"/>
      <c r="Q12" s="1696"/>
      <c r="R12" s="8"/>
      <c r="S12" s="105"/>
      <c r="T12" s="114" t="str">
        <f>IF(G12="","",(G12))</f>
        <v/>
      </c>
      <c r="U12" s="113"/>
      <c r="V12" s="114" t="str">
        <f>IF(I12="","",(I12))</f>
        <v/>
      </c>
      <c r="W12" s="113"/>
      <c r="X12" s="115"/>
    </row>
    <row r="13" spans="1:26" ht="12.95" customHeight="1" thickTop="1">
      <c r="A13" s="85"/>
      <c r="B13" s="8"/>
      <c r="C13" s="8"/>
      <c r="D13" s="8"/>
      <c r="E13" s="8"/>
      <c r="F13" s="105"/>
      <c r="G13" s="116"/>
      <c r="H13" s="116"/>
      <c r="I13" s="116"/>
      <c r="J13" s="116"/>
      <c r="K13" s="116"/>
      <c r="N13" s="85"/>
      <c r="O13" s="8"/>
      <c r="P13" s="8"/>
      <c r="Q13" s="8"/>
      <c r="R13" s="8"/>
      <c r="S13" s="105"/>
      <c r="T13" s="116"/>
      <c r="U13" s="116"/>
      <c r="V13" s="116"/>
      <c r="W13" s="116"/>
      <c r="X13" s="116"/>
    </row>
    <row r="14" spans="1:26" ht="18" customHeight="1" thickBot="1">
      <c r="A14" s="85"/>
      <c r="B14" s="1696" t="s">
        <v>767</v>
      </c>
      <c r="C14" s="1696"/>
      <c r="D14" s="1697"/>
      <c r="E14" s="8"/>
      <c r="F14" s="105"/>
      <c r="G14" s="112"/>
      <c r="H14" s="113"/>
      <c r="I14" s="112"/>
      <c r="J14" s="113"/>
      <c r="K14" s="112"/>
      <c r="N14" s="85"/>
      <c r="O14" s="1696" t="s">
        <v>767</v>
      </c>
      <c r="P14" s="1696"/>
      <c r="Q14" s="1697"/>
      <c r="R14" s="8"/>
      <c r="S14" s="105"/>
      <c r="T14" s="114" t="str">
        <f>IF(G14="","",(G14))</f>
        <v/>
      </c>
      <c r="U14" s="113"/>
      <c r="V14" s="114" t="str">
        <f>IF(I14="","",(I14))</f>
        <v/>
      </c>
      <c r="W14" s="113"/>
      <c r="X14" s="115"/>
    </row>
    <row r="15" spans="1:26" ht="12.95" customHeight="1" thickTop="1">
      <c r="A15" s="85"/>
      <c r="B15" s="8"/>
      <c r="C15" s="8"/>
      <c r="D15" s="8"/>
      <c r="E15" s="8"/>
      <c r="F15" s="105"/>
      <c r="G15" s="116"/>
      <c r="H15" s="116"/>
      <c r="I15" s="116"/>
      <c r="J15" s="116"/>
      <c r="K15" s="116"/>
      <c r="N15" s="85"/>
      <c r="O15" s="8"/>
      <c r="P15" s="8"/>
      <c r="Q15" s="8"/>
      <c r="R15" s="8"/>
      <c r="S15" s="105"/>
      <c r="T15" s="116"/>
      <c r="U15" s="116"/>
      <c r="V15" s="116"/>
      <c r="W15" s="116"/>
      <c r="X15" s="116"/>
    </row>
    <row r="16" spans="1:26" ht="18" customHeight="1" thickBot="1">
      <c r="A16" s="85"/>
      <c r="B16" s="1696" t="s">
        <v>768</v>
      </c>
      <c r="C16" s="1696"/>
      <c r="D16" s="1697"/>
      <c r="E16" s="8"/>
      <c r="F16" s="105"/>
      <c r="G16" s="112"/>
      <c r="H16" s="113"/>
      <c r="I16" s="112"/>
      <c r="J16" s="113"/>
      <c r="K16" s="112"/>
      <c r="N16" s="85"/>
      <c r="O16" s="1696" t="s">
        <v>768</v>
      </c>
      <c r="P16" s="1696"/>
      <c r="Q16" s="1697"/>
      <c r="R16" s="8"/>
      <c r="S16" s="105"/>
      <c r="T16" s="114" t="str">
        <f>IF(G16="","",(G16))</f>
        <v/>
      </c>
      <c r="U16" s="113"/>
      <c r="V16" s="114" t="str">
        <f>IF(I16="","",(I16))</f>
        <v/>
      </c>
      <c r="W16" s="113"/>
      <c r="X16" s="115"/>
    </row>
    <row r="17" spans="1:24" ht="12.95" customHeight="1" thickTop="1">
      <c r="A17" s="85"/>
      <c r="B17" s="8"/>
      <c r="C17" s="8"/>
      <c r="D17" s="8"/>
      <c r="E17" s="8"/>
      <c r="F17" s="105"/>
      <c r="G17" s="116"/>
      <c r="H17" s="116"/>
      <c r="I17" s="116"/>
      <c r="J17" s="116"/>
      <c r="K17" s="116"/>
      <c r="N17" s="85"/>
      <c r="O17" s="8"/>
      <c r="P17" s="8"/>
      <c r="Q17" s="8"/>
      <c r="R17" s="8"/>
      <c r="S17" s="105"/>
      <c r="T17" s="116"/>
      <c r="U17" s="116"/>
      <c r="V17" s="116"/>
      <c r="W17" s="116"/>
      <c r="X17" s="116"/>
    </row>
    <row r="18" spans="1:24" ht="18" customHeight="1" thickBot="1">
      <c r="A18" s="85"/>
      <c r="B18" s="1696" t="s">
        <v>769</v>
      </c>
      <c r="C18" s="1696"/>
      <c r="D18" s="1697"/>
      <c r="E18" s="8"/>
      <c r="F18" s="105"/>
      <c r="G18" s="112"/>
      <c r="H18" s="113"/>
      <c r="I18" s="112"/>
      <c r="J18" s="113"/>
      <c r="K18" s="112"/>
      <c r="N18" s="85"/>
      <c r="O18" s="1696" t="s">
        <v>769</v>
      </c>
      <c r="P18" s="1696"/>
      <c r="Q18" s="1697"/>
      <c r="R18" s="8"/>
      <c r="S18" s="105"/>
      <c r="T18" s="114" t="str">
        <f>IF(G18="","",(G18))</f>
        <v/>
      </c>
      <c r="U18" s="113"/>
      <c r="V18" s="114" t="str">
        <f>IF(I18="","",(I18))</f>
        <v/>
      </c>
      <c r="W18" s="113"/>
      <c r="X18" s="115"/>
    </row>
    <row r="19" spans="1:24" ht="12.95" customHeight="1" thickTop="1">
      <c r="A19" s="85"/>
      <c r="B19" s="8"/>
      <c r="C19" s="8"/>
      <c r="D19" s="8"/>
      <c r="E19" s="8"/>
      <c r="F19" s="105"/>
      <c r="G19" s="116"/>
      <c r="H19" s="116"/>
      <c r="I19" s="116"/>
      <c r="J19" s="116"/>
      <c r="K19" s="116"/>
      <c r="N19" s="85"/>
      <c r="O19" s="8"/>
      <c r="P19" s="8"/>
      <c r="Q19" s="8"/>
      <c r="R19" s="8"/>
      <c r="S19" s="105"/>
      <c r="T19" s="116"/>
      <c r="U19" s="116"/>
      <c r="V19" s="116"/>
      <c r="W19" s="116"/>
      <c r="X19" s="116"/>
    </row>
    <row r="20" spans="1:24" ht="18" customHeight="1" thickBot="1">
      <c r="A20" s="85"/>
      <c r="B20" s="1696" t="s">
        <v>770</v>
      </c>
      <c r="C20" s="1696"/>
      <c r="D20" s="1697"/>
      <c r="E20" s="8"/>
      <c r="F20" s="105"/>
      <c r="G20" s="112"/>
      <c r="H20" s="113"/>
      <c r="I20" s="112"/>
      <c r="J20" s="113"/>
      <c r="K20" s="112"/>
      <c r="N20" s="85"/>
      <c r="O20" s="1696" t="s">
        <v>770</v>
      </c>
      <c r="P20" s="1696"/>
      <c r="Q20" s="1697"/>
      <c r="R20" s="8"/>
      <c r="S20" s="105"/>
      <c r="T20" s="114" t="str">
        <f>IF(G20="","",(G20))</f>
        <v/>
      </c>
      <c r="U20" s="113"/>
      <c r="V20" s="114" t="str">
        <f>IF(I20="","",(I20))</f>
        <v/>
      </c>
      <c r="W20" s="113"/>
      <c r="X20" s="115"/>
    </row>
    <row r="21" spans="1:24" ht="12.95" customHeight="1" thickTop="1">
      <c r="A21" s="85"/>
      <c r="B21" s="8"/>
      <c r="C21" s="8"/>
      <c r="D21" s="8"/>
      <c r="E21" s="8"/>
      <c r="F21" s="105"/>
      <c r="G21" s="116"/>
      <c r="H21" s="116"/>
      <c r="I21" s="116"/>
      <c r="J21" s="116"/>
      <c r="K21" s="116"/>
      <c r="N21" s="85"/>
      <c r="O21" s="8"/>
      <c r="P21" s="8"/>
      <c r="Q21" s="8"/>
      <c r="R21" s="8"/>
      <c r="S21" s="105"/>
      <c r="T21" s="116"/>
      <c r="U21" s="116"/>
      <c r="V21" s="116"/>
      <c r="W21" s="116"/>
      <c r="X21" s="116"/>
    </row>
    <row r="22" spans="1:24" ht="18" customHeight="1" thickBot="1">
      <c r="A22" s="85"/>
      <c r="B22" s="1696" t="s">
        <v>771</v>
      </c>
      <c r="C22" s="1696"/>
      <c r="D22" s="1697"/>
      <c r="E22" s="8"/>
      <c r="F22" s="105"/>
      <c r="G22" s="112"/>
      <c r="H22" s="113"/>
      <c r="I22" s="112"/>
      <c r="J22" s="113"/>
      <c r="K22" s="112"/>
      <c r="N22" s="85"/>
      <c r="O22" s="1696" t="s">
        <v>771</v>
      </c>
      <c r="P22" s="1696"/>
      <c r="Q22" s="1697"/>
      <c r="R22" s="8"/>
      <c r="S22" s="105"/>
      <c r="T22" s="114" t="str">
        <f>IF(G22="","",(G22))</f>
        <v/>
      </c>
      <c r="U22" s="113"/>
      <c r="V22" s="114" t="str">
        <f>IF(I22="","",(I22))</f>
        <v/>
      </c>
      <c r="W22" s="113"/>
      <c r="X22" s="115"/>
    </row>
    <row r="23" spans="1:24" ht="12.95" customHeight="1" thickTop="1">
      <c r="A23" s="85"/>
      <c r="B23" s="8"/>
      <c r="C23" s="8"/>
      <c r="D23" s="8"/>
      <c r="E23" s="8"/>
      <c r="F23" s="105"/>
      <c r="G23" s="116"/>
      <c r="H23" s="116"/>
      <c r="I23" s="116"/>
      <c r="J23" s="116"/>
      <c r="K23" s="116"/>
      <c r="N23" s="85"/>
      <c r="O23" s="8"/>
      <c r="P23" s="8"/>
      <c r="Q23" s="8"/>
      <c r="R23" s="8"/>
      <c r="S23" s="105"/>
      <c r="T23" s="116"/>
      <c r="U23" s="116"/>
      <c r="V23" s="116"/>
      <c r="W23" s="116"/>
      <c r="X23" s="116"/>
    </row>
    <row r="24" spans="1:24" ht="18" customHeight="1" thickBot="1">
      <c r="A24" s="85"/>
      <c r="B24" s="1696" t="s">
        <v>772</v>
      </c>
      <c r="C24" s="1696"/>
      <c r="D24" s="1697"/>
      <c r="E24" s="8"/>
      <c r="F24" s="105"/>
      <c r="G24" s="112"/>
      <c r="H24" s="113"/>
      <c r="I24" s="112"/>
      <c r="J24" s="113"/>
      <c r="K24" s="112"/>
      <c r="N24" s="85"/>
      <c r="O24" s="1696" t="s">
        <v>772</v>
      </c>
      <c r="P24" s="1696"/>
      <c r="Q24" s="1697"/>
      <c r="R24" s="8"/>
      <c r="S24" s="105"/>
      <c r="T24" s="114" t="str">
        <f>IF(G24="","",(G24))</f>
        <v/>
      </c>
      <c r="U24" s="113"/>
      <c r="V24" s="114" t="str">
        <f>IF(I24="","",(I24))</f>
        <v/>
      </c>
      <c r="W24" s="113"/>
      <c r="X24" s="115"/>
    </row>
    <row r="25" spans="1:24" ht="12.95" customHeight="1" thickTop="1">
      <c r="A25" s="85"/>
      <c r="B25" s="8"/>
      <c r="C25" s="8"/>
      <c r="D25" s="8"/>
      <c r="E25" s="8"/>
      <c r="F25" s="105"/>
      <c r="G25" s="116"/>
      <c r="H25" s="116"/>
      <c r="I25" s="116"/>
      <c r="J25" s="116"/>
      <c r="K25" s="116"/>
      <c r="N25" s="85"/>
      <c r="O25" s="8"/>
      <c r="P25" s="8"/>
      <c r="Q25" s="8"/>
      <c r="R25" s="8"/>
      <c r="S25" s="105"/>
      <c r="T25" s="116"/>
      <c r="U25" s="116"/>
      <c r="V25" s="116"/>
      <c r="W25" s="116"/>
      <c r="X25" s="116"/>
    </row>
    <row r="26" spans="1:24" ht="18" customHeight="1" thickBot="1">
      <c r="A26" s="85"/>
      <c r="B26" s="1696" t="s">
        <v>773</v>
      </c>
      <c r="C26" s="1696"/>
      <c r="D26" s="1697"/>
      <c r="E26" s="8"/>
      <c r="F26" s="105"/>
      <c r="G26" s="112"/>
      <c r="H26" s="113"/>
      <c r="I26" s="112"/>
      <c r="J26" s="113"/>
      <c r="K26" s="112"/>
      <c r="N26" s="85"/>
      <c r="O26" s="1696" t="s">
        <v>773</v>
      </c>
      <c r="P26" s="1696"/>
      <c r="Q26" s="1697"/>
      <c r="R26" s="8"/>
      <c r="S26" s="105"/>
      <c r="T26" s="114" t="str">
        <f>IF(G26="","",(G26))</f>
        <v/>
      </c>
      <c r="U26" s="113"/>
      <c r="V26" s="114" t="str">
        <f>IF(I26="","",(I26))</f>
        <v/>
      </c>
      <c r="W26" s="113"/>
      <c r="X26" s="115"/>
    </row>
    <row r="27" spans="1:24" ht="12.95" customHeight="1" thickTop="1">
      <c r="A27" s="85"/>
      <c r="B27" s="8"/>
      <c r="C27" s="8"/>
      <c r="D27" s="8"/>
      <c r="E27" s="8"/>
      <c r="F27" s="105"/>
      <c r="G27" s="116"/>
      <c r="H27" s="116"/>
      <c r="I27" s="116"/>
      <c r="J27" s="116"/>
      <c r="K27" s="116"/>
      <c r="N27" s="85"/>
      <c r="O27" s="8"/>
      <c r="P27" s="8"/>
      <c r="Q27" s="8"/>
      <c r="R27" s="8"/>
      <c r="S27" s="105"/>
      <c r="T27" s="116"/>
      <c r="U27" s="116"/>
      <c r="V27" s="116"/>
      <c r="W27" s="116"/>
      <c r="X27" s="116"/>
    </row>
    <row r="28" spans="1:24" ht="18" customHeight="1" thickBot="1">
      <c r="A28" s="85"/>
      <c r="B28" s="1696" t="s">
        <v>774</v>
      </c>
      <c r="C28" s="1696"/>
      <c r="D28" s="1697"/>
      <c r="E28" s="8"/>
      <c r="F28" s="105"/>
      <c r="G28" s="112"/>
      <c r="H28" s="113"/>
      <c r="I28" s="112"/>
      <c r="J28" s="113"/>
      <c r="K28" s="112"/>
      <c r="N28" s="85"/>
      <c r="O28" s="1696" t="s">
        <v>774</v>
      </c>
      <c r="P28" s="1696"/>
      <c r="Q28" s="1697"/>
      <c r="R28" s="8"/>
      <c r="S28" s="105"/>
      <c r="T28" s="114" t="str">
        <f>IF(G28="","",(G28))</f>
        <v/>
      </c>
      <c r="U28" s="113"/>
      <c r="V28" s="114" t="str">
        <f>IF(I28="","",(I28))</f>
        <v/>
      </c>
      <c r="W28" s="113"/>
      <c r="X28" s="115"/>
    </row>
    <row r="29" spans="1:24" ht="12.95" customHeight="1" thickTop="1">
      <c r="A29" s="85"/>
      <c r="B29" s="8"/>
      <c r="C29" s="8"/>
      <c r="D29" s="8"/>
      <c r="E29" s="8"/>
      <c r="F29" s="105"/>
      <c r="G29" s="116"/>
      <c r="H29" s="116"/>
      <c r="I29" s="116"/>
      <c r="J29" s="116"/>
      <c r="K29" s="116"/>
      <c r="N29" s="85"/>
      <c r="O29" s="8"/>
      <c r="P29" s="8"/>
      <c r="Q29" s="8"/>
      <c r="R29" s="8"/>
      <c r="S29" s="105"/>
      <c r="T29" s="116"/>
      <c r="U29" s="116"/>
      <c r="V29" s="116"/>
      <c r="W29" s="116"/>
      <c r="X29" s="116"/>
    </row>
    <row r="30" spans="1:24" ht="18" customHeight="1" thickBot="1">
      <c r="A30" s="85"/>
      <c r="B30" s="1696" t="s">
        <v>775</v>
      </c>
      <c r="C30" s="1696"/>
      <c r="D30" s="1697"/>
      <c r="E30" s="8"/>
      <c r="F30" s="105"/>
      <c r="G30" s="112"/>
      <c r="H30" s="113"/>
      <c r="I30" s="112"/>
      <c r="J30" s="113"/>
      <c r="K30" s="112"/>
      <c r="N30" s="85"/>
      <c r="O30" s="1696" t="s">
        <v>775</v>
      </c>
      <c r="P30" s="1696"/>
      <c r="Q30" s="1697"/>
      <c r="R30" s="8"/>
      <c r="S30" s="105"/>
      <c r="T30" s="114" t="str">
        <f>IF(G30="","",(G30))</f>
        <v/>
      </c>
      <c r="U30" s="113"/>
      <c r="V30" s="114" t="str">
        <f>IF(I30="","",(I30))</f>
        <v/>
      </c>
      <c r="W30" s="113"/>
      <c r="X30" s="115"/>
    </row>
    <row r="31" spans="1:24" ht="12.95" customHeight="1" thickTop="1">
      <c r="A31" s="85"/>
      <c r="B31" s="8"/>
      <c r="C31" s="8"/>
      <c r="D31" s="8"/>
      <c r="E31" s="8"/>
      <c r="F31" s="105"/>
      <c r="G31" s="116"/>
      <c r="H31" s="116"/>
      <c r="I31" s="116"/>
      <c r="J31" s="116"/>
      <c r="K31" s="116"/>
      <c r="N31" s="85"/>
      <c r="O31" s="8"/>
      <c r="P31" s="8"/>
      <c r="Q31" s="8"/>
      <c r="R31" s="8"/>
      <c r="S31" s="105"/>
      <c r="T31" s="116"/>
      <c r="U31" s="116"/>
      <c r="V31" s="116"/>
      <c r="W31" s="116"/>
      <c r="X31" s="116"/>
    </row>
    <row r="32" spans="1:24" ht="18" customHeight="1" thickBot="1">
      <c r="A32" s="85"/>
      <c r="B32" s="1696" t="s">
        <v>776</v>
      </c>
      <c r="C32" s="1696"/>
      <c r="D32" s="1697"/>
      <c r="E32" s="8"/>
      <c r="F32" s="105"/>
      <c r="G32" s="112"/>
      <c r="H32" s="113"/>
      <c r="I32" s="112"/>
      <c r="J32" s="113"/>
      <c r="K32" s="112"/>
      <c r="N32" s="85"/>
      <c r="O32" s="1696" t="s">
        <v>776</v>
      </c>
      <c r="P32" s="1696"/>
      <c r="Q32" s="1697"/>
      <c r="R32" s="8"/>
      <c r="S32" s="105"/>
      <c r="T32" s="114" t="str">
        <f>IF(G32="","",(G32))</f>
        <v/>
      </c>
      <c r="U32" s="113"/>
      <c r="V32" s="114" t="str">
        <f>IF(I32="","",(I32))</f>
        <v/>
      </c>
      <c r="W32" s="113"/>
      <c r="X32" s="115"/>
    </row>
    <row r="33" spans="1:41" ht="12.95" customHeight="1" thickTop="1">
      <c r="A33" s="85"/>
      <c r="B33" s="8"/>
      <c r="C33" s="8"/>
      <c r="D33" s="8"/>
      <c r="E33" s="8"/>
      <c r="F33" s="105"/>
      <c r="G33" s="116"/>
      <c r="H33" s="116"/>
      <c r="I33" s="116"/>
      <c r="J33" s="116"/>
      <c r="K33" s="116"/>
      <c r="N33" s="85"/>
      <c r="O33" s="8"/>
      <c r="P33" s="8"/>
      <c r="Q33" s="8"/>
      <c r="R33" s="8"/>
      <c r="S33" s="105"/>
      <c r="T33" s="116"/>
      <c r="U33" s="116"/>
      <c r="V33" s="116"/>
      <c r="W33" s="116"/>
      <c r="X33" s="116"/>
    </row>
    <row r="34" spans="1:41" ht="18" customHeight="1" thickBot="1">
      <c r="A34" s="85"/>
      <c r="B34" s="1696" t="s">
        <v>777</v>
      </c>
      <c r="C34" s="1696"/>
      <c r="D34" s="1697"/>
      <c r="E34" s="8"/>
      <c r="F34" s="105"/>
      <c r="G34" s="112"/>
      <c r="H34" s="113"/>
      <c r="I34" s="112"/>
      <c r="J34" s="113"/>
      <c r="K34" s="112"/>
      <c r="N34" s="85"/>
      <c r="O34" s="1696" t="s">
        <v>777</v>
      </c>
      <c r="P34" s="1696"/>
      <c r="Q34" s="1697"/>
      <c r="R34" s="8"/>
      <c r="S34" s="105"/>
      <c r="T34" s="114" t="str">
        <f>IF(G34="","",(G34))</f>
        <v/>
      </c>
      <c r="U34" s="113"/>
      <c r="V34" s="114" t="str">
        <f>IF(I34="","",(I34))</f>
        <v/>
      </c>
      <c r="W34" s="113"/>
      <c r="X34" s="115"/>
    </row>
    <row r="35" spans="1:41" ht="12.95" customHeight="1" thickTop="1">
      <c r="A35" s="85"/>
      <c r="B35" s="8"/>
      <c r="C35" s="8"/>
      <c r="D35" s="8"/>
      <c r="E35" s="8"/>
      <c r="F35" s="105"/>
      <c r="G35" s="116"/>
      <c r="H35" s="116"/>
      <c r="I35" s="116"/>
      <c r="J35" s="116"/>
      <c r="K35" s="116"/>
      <c r="N35" s="85"/>
      <c r="O35" s="8"/>
      <c r="P35" s="8"/>
      <c r="Q35" s="8"/>
      <c r="R35" s="8"/>
      <c r="S35" s="105"/>
      <c r="T35" s="116"/>
      <c r="U35" s="116"/>
      <c r="V35" s="116"/>
      <c r="W35" s="116"/>
      <c r="X35" s="116"/>
    </row>
    <row r="36" spans="1:41" ht="18" customHeight="1" thickBot="1">
      <c r="A36" s="85"/>
      <c r="B36" s="1696" t="s">
        <v>778</v>
      </c>
      <c r="C36" s="1696"/>
      <c r="D36" s="1697"/>
      <c r="E36" s="8"/>
      <c r="F36" s="105"/>
      <c r="G36" s="112"/>
      <c r="H36" s="113"/>
      <c r="I36" s="112"/>
      <c r="J36" s="113"/>
      <c r="K36" s="112"/>
      <c r="N36" s="85"/>
      <c r="O36" s="1696" t="s">
        <v>778</v>
      </c>
      <c r="P36" s="1696"/>
      <c r="Q36" s="1697"/>
      <c r="R36" s="8"/>
      <c r="S36" s="105"/>
      <c r="T36" s="114" t="str">
        <f>IF(G36="","",(G36))</f>
        <v/>
      </c>
      <c r="U36" s="113"/>
      <c r="V36" s="114" t="str">
        <f>IF(I36="","",(I36))</f>
        <v/>
      </c>
      <c r="W36" s="113"/>
      <c r="X36" s="115"/>
    </row>
    <row r="37" spans="1:41" ht="12.95" customHeight="1" thickTop="1">
      <c r="A37" s="85"/>
      <c r="B37" s="8"/>
      <c r="C37" s="8"/>
      <c r="D37" s="8"/>
      <c r="E37" s="8"/>
      <c r="F37" s="105"/>
      <c r="G37" s="116"/>
      <c r="H37" s="116"/>
      <c r="I37" s="116"/>
      <c r="J37" s="116"/>
      <c r="K37" s="116"/>
      <c r="N37" s="85"/>
      <c r="O37" s="8"/>
      <c r="P37" s="8"/>
      <c r="Q37" s="8"/>
      <c r="R37" s="8"/>
      <c r="S37" s="105"/>
      <c r="T37" s="116"/>
      <c r="U37" s="116"/>
      <c r="V37" s="116"/>
      <c r="W37" s="116"/>
      <c r="X37" s="116"/>
    </row>
    <row r="38" spans="1:41" ht="18" customHeight="1" thickBot="1">
      <c r="A38" s="85"/>
      <c r="B38" s="1696" t="s">
        <v>779</v>
      </c>
      <c r="C38" s="1696"/>
      <c r="D38" s="1697"/>
      <c r="E38" s="8"/>
      <c r="F38" s="105"/>
      <c r="G38" s="112"/>
      <c r="H38" s="113"/>
      <c r="I38" s="112"/>
      <c r="J38" s="113"/>
      <c r="K38" s="112"/>
      <c r="N38" s="85"/>
      <c r="O38" s="1696" t="s">
        <v>779</v>
      </c>
      <c r="P38" s="1696"/>
      <c r="Q38" s="1697"/>
      <c r="R38" s="8"/>
      <c r="S38" s="105"/>
      <c r="T38" s="114" t="str">
        <f>IF(G38="","",(G38))</f>
        <v/>
      </c>
      <c r="U38" s="113"/>
      <c r="V38" s="114" t="str">
        <f>IF(I38="","",(I38))</f>
        <v/>
      </c>
      <c r="W38" s="113"/>
      <c r="X38" s="115"/>
    </row>
    <row r="39" spans="1:41" ht="12.95" customHeight="1" thickTop="1">
      <c r="A39" s="85"/>
      <c r="B39" s="8"/>
      <c r="C39" s="8"/>
      <c r="D39" s="8"/>
      <c r="E39" s="8"/>
      <c r="F39" s="105"/>
      <c r="G39" s="116"/>
      <c r="H39" s="116"/>
      <c r="I39" s="116"/>
      <c r="J39" s="116"/>
      <c r="K39" s="116"/>
      <c r="N39" s="85"/>
      <c r="O39" s="8"/>
      <c r="P39" s="8"/>
      <c r="Q39" s="8"/>
      <c r="R39" s="8"/>
      <c r="S39" s="105"/>
      <c r="T39" s="116"/>
      <c r="U39" s="116"/>
      <c r="V39" s="116"/>
      <c r="W39" s="116"/>
      <c r="X39" s="116"/>
    </row>
    <row r="40" spans="1:41" ht="18" customHeight="1" thickBot="1">
      <c r="A40" s="85"/>
      <c r="B40" s="1696" t="s">
        <v>780</v>
      </c>
      <c r="C40" s="1696"/>
      <c r="D40" s="1697"/>
      <c r="E40" s="8"/>
      <c r="F40" s="105"/>
      <c r="G40" s="112"/>
      <c r="H40" s="113"/>
      <c r="I40" s="112"/>
      <c r="J40" s="113"/>
      <c r="K40" s="112"/>
      <c r="N40" s="85"/>
      <c r="O40" s="1696" t="s">
        <v>780</v>
      </c>
      <c r="P40" s="1696"/>
      <c r="Q40" s="1697"/>
      <c r="R40" s="8"/>
      <c r="S40" s="105"/>
      <c r="T40" s="114" t="str">
        <f>IF(G40="","",(G40))</f>
        <v/>
      </c>
      <c r="U40" s="113"/>
      <c r="V40" s="114" t="str">
        <f>IF(I40="","",(I40))</f>
        <v/>
      </c>
      <c r="W40" s="113"/>
      <c r="X40" s="115"/>
    </row>
    <row r="41" spans="1:41" ht="12.95" customHeight="1" thickTop="1" thickBot="1">
      <c r="A41" s="85"/>
      <c r="B41" s="8"/>
      <c r="C41" s="8"/>
      <c r="D41" s="8"/>
      <c r="E41" s="8"/>
      <c r="F41" s="105"/>
      <c r="G41" s="116"/>
      <c r="H41" s="116"/>
      <c r="I41" s="116"/>
      <c r="J41" s="116"/>
      <c r="K41" s="116"/>
      <c r="N41" s="85"/>
      <c r="O41" s="8"/>
      <c r="P41" s="8"/>
      <c r="Q41" s="8"/>
      <c r="R41" s="8"/>
      <c r="S41" s="105"/>
      <c r="T41" s="116"/>
      <c r="U41" s="116"/>
      <c r="V41" s="116"/>
      <c r="W41" s="116"/>
      <c r="X41" s="116"/>
    </row>
    <row r="42" spans="1:41" ht="18" customHeight="1" thickTop="1" thickBot="1">
      <c r="A42" s="85"/>
      <c r="B42" s="117" t="s">
        <v>782</v>
      </c>
      <c r="C42" s="21"/>
      <c r="D42" s="118">
        <f>SUM(G42:K42)</f>
        <v>0</v>
      </c>
      <c r="E42" s="8"/>
      <c r="F42" s="105"/>
      <c r="G42" s="119">
        <f>SUM(G12:G40)</f>
        <v>0</v>
      </c>
      <c r="H42" s="113"/>
      <c r="I42" s="119">
        <f>SUM(I12:I40)</f>
        <v>0</v>
      </c>
      <c r="J42" s="113"/>
      <c r="K42" s="119">
        <f>SUM(K12:K40)</f>
        <v>0</v>
      </c>
      <c r="N42" s="85"/>
      <c r="O42" s="117" t="s">
        <v>782</v>
      </c>
      <c r="P42" s="21"/>
      <c r="Q42" s="118"/>
      <c r="R42" s="8"/>
      <c r="S42" s="105"/>
      <c r="T42" s="119"/>
      <c r="U42" s="113"/>
      <c r="V42" s="119"/>
      <c r="W42" s="113"/>
      <c r="X42" s="119"/>
    </row>
    <row r="43" spans="1:41" ht="12.95" customHeight="1" thickTop="1">
      <c r="A43" s="85"/>
      <c r="B43" s="8"/>
      <c r="C43" s="8"/>
      <c r="D43" s="8"/>
      <c r="E43" s="8"/>
      <c r="F43" s="105"/>
      <c r="G43" s="111"/>
      <c r="H43" s="111"/>
      <c r="I43" s="111"/>
      <c r="J43" s="111"/>
      <c r="K43" s="111"/>
      <c r="N43" s="85"/>
      <c r="O43" s="8"/>
      <c r="P43" s="8"/>
      <c r="Q43" s="8"/>
      <c r="R43" s="8"/>
      <c r="S43" s="105"/>
      <c r="T43" s="111"/>
      <c r="U43" s="111"/>
      <c r="V43" s="111"/>
      <c r="W43" s="111"/>
      <c r="X43" s="111"/>
    </row>
    <row r="44" spans="1:41" s="104" customFormat="1" ht="20.100000000000001" customHeight="1">
      <c r="A44" s="100"/>
      <c r="B44" s="100"/>
      <c r="C44" s="100"/>
      <c r="D44" s="100"/>
      <c r="E44" s="100"/>
      <c r="F44" s="100"/>
      <c r="G44" s="100"/>
      <c r="I44" s="100"/>
      <c r="K44" s="100"/>
      <c r="M44" s="106"/>
      <c r="N44" s="100"/>
      <c r="O44" s="100"/>
      <c r="P44" s="100"/>
      <c r="Q44" s="100"/>
      <c r="R44" s="100"/>
      <c r="S44" s="100"/>
      <c r="T44" s="100"/>
      <c r="V44" s="100"/>
      <c r="X44" s="100"/>
      <c r="Y44" s="120"/>
      <c r="AC44" s="121"/>
      <c r="AD44" s="121"/>
      <c r="AK44" s="100"/>
      <c r="AL44" s="100"/>
      <c r="AM44" s="100"/>
      <c r="AN44" s="100"/>
      <c r="AO44" s="100"/>
    </row>
    <row r="45" spans="1:41" s="104" customFormat="1" ht="20.100000000000001" customHeight="1">
      <c r="A45" s="100"/>
      <c r="B45" s="100"/>
      <c r="C45" s="100"/>
      <c r="D45" s="100"/>
      <c r="E45" s="100"/>
      <c r="F45" s="100"/>
      <c r="G45" s="100"/>
      <c r="I45" s="100"/>
      <c r="K45" s="100"/>
      <c r="M45" s="106"/>
      <c r="N45" s="100"/>
      <c r="O45" s="100"/>
      <c r="P45" s="100"/>
      <c r="Q45" s="100"/>
      <c r="R45" s="100"/>
      <c r="S45" s="100"/>
      <c r="T45" s="100"/>
      <c r="V45" s="100"/>
      <c r="X45" s="100"/>
      <c r="Y45" s="120"/>
      <c r="AC45" s="121"/>
      <c r="AD45" s="121"/>
      <c r="AK45" s="100"/>
      <c r="AL45" s="100"/>
      <c r="AM45" s="100"/>
      <c r="AN45" s="100"/>
      <c r="AO45" s="100"/>
    </row>
    <row r="46" spans="1:41" s="104" customFormat="1" ht="20.100000000000001" customHeight="1">
      <c r="A46" s="100"/>
      <c r="B46" s="100"/>
      <c r="C46" s="100"/>
      <c r="D46" s="100"/>
      <c r="E46" s="100"/>
      <c r="F46" s="100"/>
      <c r="G46" s="100"/>
      <c r="M46" s="106"/>
      <c r="N46" s="100"/>
      <c r="O46" s="100"/>
      <c r="P46" s="100"/>
      <c r="Q46" s="100"/>
      <c r="R46" s="100"/>
      <c r="S46" s="100"/>
      <c r="T46" s="100"/>
      <c r="Y46" s="106"/>
      <c r="AK46" s="100"/>
      <c r="AL46" s="100"/>
      <c r="AM46" s="100"/>
      <c r="AN46" s="100"/>
      <c r="AO46" s="100"/>
    </row>
    <row r="47" spans="1:41" s="104" customFormat="1">
      <c r="A47" s="100"/>
      <c r="B47" s="100"/>
      <c r="C47" s="100"/>
      <c r="D47" s="100"/>
      <c r="E47" s="100"/>
      <c r="F47" s="100"/>
      <c r="G47" s="100"/>
      <c r="M47" s="106"/>
      <c r="N47" s="100"/>
      <c r="O47" s="100"/>
      <c r="P47" s="100"/>
      <c r="Q47" s="100"/>
      <c r="R47" s="100"/>
      <c r="S47" s="100"/>
      <c r="T47" s="100"/>
      <c r="Y47" s="106"/>
      <c r="AK47" s="100"/>
      <c r="AL47" s="100"/>
      <c r="AM47" s="100"/>
      <c r="AN47" s="100"/>
      <c r="AO47" s="100"/>
    </row>
    <row r="48" spans="1:41" s="104" customFormat="1">
      <c r="A48" s="100"/>
      <c r="B48" s="100"/>
      <c r="C48" s="100"/>
      <c r="D48" s="100"/>
      <c r="E48" s="100"/>
      <c r="F48" s="100"/>
      <c r="G48" s="100"/>
      <c r="M48" s="106"/>
      <c r="N48" s="100"/>
      <c r="O48" s="100"/>
      <c r="P48" s="100"/>
      <c r="Q48" s="100"/>
      <c r="R48" s="100"/>
      <c r="S48" s="100"/>
      <c r="T48" s="100"/>
      <c r="Y48" s="106"/>
      <c r="AK48" s="100"/>
      <c r="AL48" s="100"/>
      <c r="AM48" s="100"/>
      <c r="AN48" s="100"/>
      <c r="AO48" s="100"/>
    </row>
    <row r="49" spans="1:41" s="104" customFormat="1">
      <c r="A49" s="100"/>
      <c r="B49" s="100"/>
      <c r="C49" s="100"/>
      <c r="D49" s="100"/>
      <c r="E49" s="100"/>
      <c r="F49" s="100"/>
      <c r="G49" s="100"/>
      <c r="M49" s="106"/>
      <c r="N49" s="100"/>
      <c r="O49" s="100"/>
      <c r="P49" s="100"/>
      <c r="Q49" s="100"/>
      <c r="R49" s="100"/>
      <c r="S49" s="100"/>
      <c r="T49" s="100"/>
      <c r="Y49" s="106"/>
      <c r="AK49" s="100"/>
      <c r="AL49" s="100"/>
      <c r="AM49" s="100"/>
      <c r="AN49" s="100"/>
      <c r="AO49" s="100"/>
    </row>
    <row r="50" spans="1:41" s="104" customFormat="1">
      <c r="A50" s="100"/>
      <c r="B50" s="100"/>
      <c r="C50" s="100"/>
      <c r="D50" s="100"/>
      <c r="E50" s="100"/>
      <c r="F50" s="100"/>
      <c r="G50" s="100"/>
      <c r="M50" s="106"/>
      <c r="N50" s="100"/>
      <c r="O50" s="100"/>
      <c r="P50" s="100"/>
      <c r="Q50" s="100"/>
      <c r="R50" s="100"/>
      <c r="S50" s="100"/>
      <c r="T50" s="100"/>
      <c r="Y50" s="106"/>
      <c r="AK50" s="100"/>
      <c r="AL50" s="100"/>
      <c r="AM50" s="100"/>
      <c r="AN50" s="100"/>
      <c r="AO50" s="100"/>
    </row>
    <row r="51" spans="1:41" s="104" customFormat="1">
      <c r="A51" s="100"/>
      <c r="B51" s="100"/>
      <c r="C51" s="100"/>
      <c r="D51" s="100"/>
      <c r="E51" s="100"/>
      <c r="F51" s="100"/>
      <c r="G51" s="100"/>
      <c r="I51" s="122"/>
      <c r="J51" s="122"/>
      <c r="K51" s="122"/>
      <c r="M51" s="106"/>
      <c r="N51" s="100"/>
      <c r="O51" s="100"/>
      <c r="P51" s="100"/>
      <c r="Q51" s="100"/>
      <c r="R51" s="100"/>
      <c r="S51" s="100"/>
      <c r="T51" s="100"/>
      <c r="V51" s="122"/>
      <c r="W51" s="122"/>
      <c r="X51" s="122"/>
      <c r="Y51" s="120"/>
      <c r="Z51" s="122"/>
      <c r="AK51" s="100"/>
      <c r="AL51" s="100"/>
      <c r="AM51" s="100"/>
      <c r="AN51" s="100"/>
      <c r="AO51" s="100"/>
    </row>
    <row r="52" spans="1:41" s="104" customFormat="1">
      <c r="A52" s="100"/>
      <c r="B52" s="100"/>
      <c r="C52" s="100"/>
      <c r="D52" s="100"/>
      <c r="E52" s="100"/>
      <c r="F52" s="100"/>
      <c r="G52" s="100"/>
      <c r="H52" s="100"/>
      <c r="I52" s="123"/>
      <c r="J52" s="124"/>
      <c r="K52" s="123"/>
      <c r="M52" s="106"/>
      <c r="N52" s="100"/>
      <c r="O52" s="100"/>
      <c r="P52" s="100"/>
      <c r="Q52" s="100"/>
      <c r="R52" s="100"/>
      <c r="S52" s="100"/>
      <c r="T52" s="100"/>
      <c r="U52" s="100"/>
      <c r="V52" s="123"/>
      <c r="W52" s="124"/>
      <c r="X52" s="123"/>
      <c r="Y52" s="120"/>
      <c r="Z52" s="122"/>
      <c r="AK52" s="100"/>
      <c r="AL52" s="100"/>
      <c r="AM52" s="100"/>
      <c r="AN52" s="100"/>
      <c r="AO52" s="100"/>
    </row>
    <row r="53" spans="1:41" s="104" customFormat="1">
      <c r="A53" s="100"/>
      <c r="B53" s="100"/>
      <c r="C53" s="100"/>
      <c r="D53" s="100"/>
      <c r="E53" s="100"/>
      <c r="F53" s="100"/>
      <c r="G53" s="100"/>
      <c r="H53" s="100"/>
      <c r="I53" s="122"/>
      <c r="J53" s="124"/>
      <c r="K53" s="122"/>
      <c r="M53" s="106"/>
      <c r="N53" s="100"/>
      <c r="O53" s="100"/>
      <c r="P53" s="100"/>
      <c r="Q53" s="100"/>
      <c r="R53" s="100"/>
      <c r="S53" s="100"/>
      <c r="T53" s="100"/>
      <c r="U53" s="100"/>
      <c r="V53" s="122"/>
      <c r="W53" s="124"/>
      <c r="X53" s="122"/>
      <c r="Y53" s="120"/>
      <c r="Z53" s="122"/>
      <c r="AK53" s="100"/>
      <c r="AL53" s="100"/>
      <c r="AM53" s="100"/>
      <c r="AN53" s="100"/>
      <c r="AO53" s="100"/>
    </row>
    <row r="54" spans="1:41" s="104" customFormat="1">
      <c r="A54" s="100"/>
      <c r="B54" s="100"/>
      <c r="C54" s="100"/>
      <c r="D54" s="100"/>
      <c r="E54" s="100"/>
      <c r="F54" s="100"/>
      <c r="G54" s="100"/>
      <c r="H54" s="100"/>
      <c r="I54" s="124"/>
      <c r="J54" s="124"/>
      <c r="K54" s="124"/>
      <c r="M54" s="106"/>
      <c r="N54" s="100"/>
      <c r="O54" s="100"/>
      <c r="P54" s="100"/>
      <c r="Q54" s="100"/>
      <c r="R54" s="100"/>
      <c r="S54" s="100"/>
      <c r="T54" s="100"/>
      <c r="U54" s="100"/>
      <c r="V54" s="124"/>
      <c r="W54" s="124"/>
      <c r="X54" s="124"/>
      <c r="Y54" s="120"/>
      <c r="Z54" s="122"/>
      <c r="AK54" s="100"/>
      <c r="AL54" s="100"/>
      <c r="AM54" s="100"/>
      <c r="AN54" s="100"/>
      <c r="AO54" s="100"/>
    </row>
    <row r="55" spans="1:41" s="104" customFormat="1">
      <c r="A55" s="100"/>
      <c r="B55" s="100"/>
      <c r="C55" s="100"/>
      <c r="D55" s="100"/>
      <c r="E55" s="100"/>
      <c r="F55" s="100"/>
      <c r="G55" s="100"/>
      <c r="H55" s="100"/>
      <c r="I55" s="100"/>
      <c r="J55" s="100"/>
      <c r="K55" s="100"/>
      <c r="M55" s="106"/>
      <c r="N55" s="100"/>
      <c r="O55" s="100"/>
      <c r="P55" s="100"/>
      <c r="Q55" s="100"/>
      <c r="R55" s="100"/>
      <c r="S55" s="100"/>
      <c r="T55" s="100"/>
      <c r="U55" s="100"/>
      <c r="V55" s="100"/>
      <c r="W55" s="100"/>
      <c r="X55" s="100"/>
      <c r="Y55" s="106"/>
      <c r="AK55" s="100"/>
      <c r="AL55" s="100"/>
      <c r="AM55" s="100"/>
      <c r="AN55" s="100"/>
      <c r="AO55" s="100"/>
    </row>
    <row r="56" spans="1:41" s="104" customFormat="1">
      <c r="A56" s="100"/>
      <c r="B56" s="100"/>
      <c r="C56" s="100"/>
      <c r="D56" s="100"/>
      <c r="E56" s="100"/>
      <c r="F56" s="100"/>
      <c r="G56" s="100"/>
      <c r="H56" s="100"/>
      <c r="I56" s="100"/>
      <c r="J56" s="100"/>
      <c r="K56" s="100"/>
      <c r="M56" s="106"/>
      <c r="N56" s="100"/>
      <c r="O56" s="100"/>
      <c r="P56" s="100"/>
      <c r="Q56" s="100"/>
      <c r="R56" s="100"/>
      <c r="S56" s="100"/>
      <c r="T56" s="100"/>
      <c r="U56" s="100"/>
      <c r="V56" s="100"/>
      <c r="W56" s="100"/>
      <c r="X56" s="100"/>
      <c r="Y56" s="106"/>
      <c r="AK56" s="100"/>
      <c r="AL56" s="100"/>
      <c r="AM56" s="100"/>
      <c r="AN56" s="100"/>
      <c r="AO56" s="100"/>
    </row>
    <row r="57" spans="1:41" s="104" customFormat="1">
      <c r="A57" s="100"/>
      <c r="B57" s="100"/>
      <c r="C57" s="100"/>
      <c r="D57" s="100"/>
      <c r="E57" s="100"/>
      <c r="F57" s="100"/>
      <c r="G57" s="100"/>
      <c r="H57" s="100"/>
      <c r="I57" s="100"/>
      <c r="J57" s="100"/>
      <c r="K57" s="100"/>
      <c r="M57" s="106"/>
      <c r="N57" s="100"/>
      <c r="O57" s="100"/>
      <c r="P57" s="100"/>
      <c r="Q57" s="100"/>
      <c r="R57" s="100"/>
      <c r="S57" s="100"/>
      <c r="T57" s="100"/>
      <c r="U57" s="100"/>
      <c r="V57" s="100"/>
      <c r="W57" s="100"/>
      <c r="X57" s="100"/>
      <c r="Y57" s="106"/>
      <c r="AK57" s="100"/>
      <c r="AL57" s="100"/>
      <c r="AM57" s="100"/>
      <c r="AN57" s="100"/>
      <c r="AO57" s="100"/>
    </row>
    <row r="58" spans="1:41" s="104" customFormat="1">
      <c r="A58" s="100"/>
      <c r="B58" s="100"/>
      <c r="C58" s="100"/>
      <c r="D58" s="100"/>
      <c r="E58" s="100"/>
      <c r="F58" s="100"/>
      <c r="G58" s="100"/>
      <c r="H58" s="100"/>
      <c r="I58" s="100"/>
      <c r="J58" s="100"/>
      <c r="K58" s="100"/>
      <c r="M58" s="106"/>
      <c r="N58" s="100"/>
      <c r="O58" s="100"/>
      <c r="P58" s="100"/>
      <c r="Q58" s="100"/>
      <c r="R58" s="100"/>
      <c r="S58" s="100"/>
      <c r="T58" s="100"/>
      <c r="U58" s="100"/>
      <c r="V58" s="100"/>
      <c r="W58" s="100"/>
      <c r="X58" s="100"/>
      <c r="Y58" s="106"/>
      <c r="AK58" s="100"/>
      <c r="AL58" s="100"/>
      <c r="AM58" s="100"/>
      <c r="AN58" s="100"/>
      <c r="AO58" s="100"/>
    </row>
    <row r="59" spans="1:41" s="104" customFormat="1">
      <c r="A59" s="100"/>
      <c r="B59" s="100"/>
      <c r="C59" s="100"/>
      <c r="D59" s="100"/>
      <c r="E59" s="100"/>
      <c r="F59" s="100"/>
      <c r="G59" s="100"/>
      <c r="H59" s="100"/>
      <c r="I59" s="100"/>
      <c r="J59" s="100"/>
      <c r="K59" s="100"/>
      <c r="M59" s="106"/>
      <c r="N59" s="100"/>
      <c r="O59" s="100"/>
      <c r="P59" s="100"/>
      <c r="Q59" s="100"/>
      <c r="R59" s="100"/>
      <c r="S59" s="100"/>
      <c r="T59" s="100"/>
      <c r="U59" s="100"/>
      <c r="V59" s="100"/>
      <c r="W59" s="100"/>
      <c r="X59" s="100"/>
      <c r="Y59" s="106"/>
      <c r="AK59" s="100"/>
      <c r="AL59" s="100"/>
      <c r="AM59" s="100"/>
      <c r="AN59" s="100"/>
      <c r="AO59" s="100"/>
    </row>
    <row r="60" spans="1:41" s="104" customFormat="1">
      <c r="A60" s="100"/>
      <c r="B60" s="100"/>
      <c r="C60" s="100"/>
      <c r="D60" s="100"/>
      <c r="E60" s="100"/>
      <c r="F60" s="100"/>
      <c r="G60" s="100"/>
      <c r="H60" s="100"/>
      <c r="I60" s="100"/>
      <c r="J60" s="100"/>
      <c r="K60" s="100"/>
      <c r="M60" s="106"/>
      <c r="N60" s="100"/>
      <c r="O60" s="100"/>
      <c r="P60" s="100"/>
      <c r="Q60" s="100"/>
      <c r="R60" s="100"/>
      <c r="S60" s="100"/>
      <c r="T60" s="100"/>
      <c r="U60" s="100"/>
      <c r="V60" s="100"/>
      <c r="W60" s="100"/>
      <c r="X60" s="100"/>
      <c r="Y60" s="106"/>
      <c r="AK60" s="100"/>
      <c r="AL60" s="100"/>
      <c r="AM60" s="100"/>
      <c r="AN60" s="100"/>
      <c r="AO60" s="100"/>
    </row>
    <row r="61" spans="1:41" s="104" customFormat="1">
      <c r="A61" s="100"/>
      <c r="B61" s="100"/>
      <c r="C61" s="100"/>
      <c r="D61" s="100"/>
      <c r="E61" s="100"/>
      <c r="F61" s="100"/>
      <c r="G61" s="100"/>
      <c r="H61" s="100"/>
      <c r="I61" s="100"/>
      <c r="J61" s="100"/>
      <c r="K61" s="100"/>
      <c r="M61" s="106"/>
      <c r="N61" s="100"/>
      <c r="O61" s="100"/>
      <c r="P61" s="100"/>
      <c r="Q61" s="100"/>
      <c r="R61" s="100"/>
      <c r="S61" s="100"/>
      <c r="T61" s="100"/>
      <c r="U61" s="100"/>
      <c r="V61" s="100"/>
      <c r="W61" s="100"/>
      <c r="X61" s="100"/>
      <c r="Y61" s="106"/>
      <c r="AK61" s="100"/>
      <c r="AL61" s="100"/>
      <c r="AM61" s="100"/>
      <c r="AN61" s="100"/>
      <c r="AO61" s="100"/>
    </row>
    <row r="62" spans="1:41" s="104" customFormat="1">
      <c r="A62" s="100"/>
      <c r="B62" s="100"/>
      <c r="C62" s="100"/>
      <c r="D62" s="100"/>
      <c r="E62" s="100"/>
      <c r="F62" s="100"/>
      <c r="G62" s="100"/>
      <c r="H62" s="100"/>
      <c r="I62" s="100"/>
      <c r="J62" s="100"/>
      <c r="K62" s="100"/>
      <c r="M62" s="106"/>
      <c r="N62" s="100"/>
      <c r="O62" s="100"/>
      <c r="P62" s="100"/>
      <c r="Q62" s="100"/>
      <c r="R62" s="100"/>
      <c r="S62" s="100"/>
      <c r="T62" s="100"/>
      <c r="U62" s="100"/>
      <c r="V62" s="100"/>
      <c r="W62" s="100"/>
      <c r="X62" s="100"/>
      <c r="Y62" s="106"/>
      <c r="AK62" s="100"/>
      <c r="AL62" s="100"/>
      <c r="AM62" s="100"/>
      <c r="AN62" s="100"/>
      <c r="AO62" s="100"/>
    </row>
    <row r="63" spans="1:41" s="104" customFormat="1">
      <c r="A63" s="100"/>
      <c r="B63" s="100"/>
      <c r="C63" s="100"/>
      <c r="D63" s="100"/>
      <c r="E63" s="100"/>
      <c r="F63" s="100"/>
      <c r="G63" s="100"/>
      <c r="H63" s="100"/>
      <c r="I63" s="100"/>
      <c r="J63" s="100"/>
      <c r="K63" s="100"/>
      <c r="M63" s="106"/>
      <c r="N63" s="100"/>
      <c r="O63" s="100"/>
      <c r="P63" s="100"/>
      <c r="Q63" s="100"/>
      <c r="R63" s="100"/>
      <c r="S63" s="100"/>
      <c r="T63" s="100"/>
      <c r="U63" s="100"/>
      <c r="V63" s="100"/>
      <c r="W63" s="100"/>
      <c r="X63" s="100"/>
      <c r="Y63" s="106"/>
      <c r="AK63" s="100"/>
      <c r="AL63" s="100"/>
      <c r="AM63" s="100"/>
      <c r="AN63" s="100"/>
      <c r="AO63" s="100"/>
    </row>
    <row r="64" spans="1:41" s="104" customFormat="1">
      <c r="A64" s="100"/>
      <c r="B64" s="100"/>
      <c r="C64" s="100"/>
      <c r="D64" s="100"/>
      <c r="E64" s="100"/>
      <c r="F64" s="100"/>
      <c r="G64" s="100"/>
      <c r="H64" s="100"/>
      <c r="I64" s="100"/>
      <c r="J64" s="100"/>
      <c r="K64" s="100"/>
      <c r="M64" s="106"/>
      <c r="N64" s="100"/>
      <c r="O64" s="100"/>
      <c r="P64" s="100"/>
      <c r="Q64" s="100"/>
      <c r="R64" s="100"/>
      <c r="S64" s="100"/>
      <c r="T64" s="100"/>
      <c r="U64" s="100"/>
      <c r="V64" s="100"/>
      <c r="W64" s="100"/>
      <c r="X64" s="100"/>
      <c r="Y64" s="106"/>
      <c r="AK64" s="100"/>
      <c r="AL64" s="100"/>
      <c r="AM64" s="100"/>
      <c r="AN64" s="100"/>
      <c r="AO64" s="100"/>
    </row>
    <row r="65" spans="1:41" s="104" customFormat="1">
      <c r="A65" s="100"/>
      <c r="B65" s="100"/>
      <c r="C65" s="100"/>
      <c r="D65" s="100"/>
      <c r="E65" s="100"/>
      <c r="F65" s="100"/>
      <c r="G65" s="100"/>
      <c r="H65" s="100"/>
      <c r="I65" s="100"/>
      <c r="J65" s="100"/>
      <c r="K65" s="100"/>
      <c r="M65" s="106"/>
      <c r="N65" s="100"/>
      <c r="O65" s="100"/>
      <c r="P65" s="100"/>
      <c r="Q65" s="100"/>
      <c r="R65" s="100"/>
      <c r="S65" s="100"/>
      <c r="T65" s="100"/>
      <c r="U65" s="100"/>
      <c r="V65" s="100"/>
      <c r="W65" s="100"/>
      <c r="X65" s="100"/>
      <c r="Y65" s="106"/>
      <c r="AK65" s="100"/>
      <c r="AL65" s="100"/>
      <c r="AM65" s="100"/>
      <c r="AN65" s="100"/>
      <c r="AO65" s="100"/>
    </row>
    <row r="66" spans="1:41" s="104" customFormat="1">
      <c r="A66" s="100"/>
      <c r="B66" s="100"/>
      <c r="C66" s="100"/>
      <c r="D66" s="100"/>
      <c r="E66" s="100"/>
      <c r="F66" s="100"/>
      <c r="G66" s="100"/>
      <c r="H66" s="100"/>
      <c r="I66" s="100"/>
      <c r="J66" s="100"/>
      <c r="K66" s="100"/>
      <c r="M66" s="106"/>
      <c r="N66" s="100"/>
      <c r="O66" s="100"/>
      <c r="P66" s="100"/>
      <c r="Q66" s="100"/>
      <c r="R66" s="100"/>
      <c r="S66" s="100"/>
      <c r="T66" s="100"/>
      <c r="U66" s="100"/>
      <c r="V66" s="100"/>
      <c r="W66" s="100"/>
      <c r="X66" s="100"/>
      <c r="Y66" s="106"/>
      <c r="AK66" s="100"/>
      <c r="AL66" s="100"/>
      <c r="AM66" s="100"/>
      <c r="AN66" s="100"/>
      <c r="AO66" s="100"/>
    </row>
    <row r="67" spans="1:41" s="104" customFormat="1">
      <c r="A67" s="100"/>
      <c r="B67" s="100"/>
      <c r="C67" s="100"/>
      <c r="D67" s="100"/>
      <c r="E67" s="100"/>
      <c r="F67" s="100"/>
      <c r="G67" s="100"/>
      <c r="H67" s="100"/>
      <c r="I67" s="100"/>
      <c r="J67" s="100"/>
      <c r="K67" s="100"/>
      <c r="M67" s="106"/>
      <c r="N67" s="100"/>
      <c r="O67" s="100"/>
      <c r="P67" s="100"/>
      <c r="Q67" s="100"/>
      <c r="R67" s="100"/>
      <c r="S67" s="100"/>
      <c r="T67" s="100"/>
      <c r="U67" s="100"/>
      <c r="V67" s="100"/>
      <c r="W67" s="100"/>
      <c r="X67" s="100"/>
      <c r="Y67" s="106"/>
      <c r="AK67" s="100"/>
      <c r="AL67" s="100"/>
      <c r="AM67" s="100"/>
      <c r="AN67" s="100"/>
      <c r="AO67" s="100"/>
    </row>
    <row r="68" spans="1:41" s="104" customFormat="1">
      <c r="A68" s="100"/>
      <c r="B68" s="100"/>
      <c r="C68" s="100"/>
      <c r="D68" s="100"/>
      <c r="E68" s="100"/>
      <c r="F68" s="100"/>
      <c r="G68" s="100"/>
      <c r="H68" s="100"/>
      <c r="I68" s="100"/>
      <c r="J68" s="100"/>
      <c r="K68" s="100"/>
      <c r="M68" s="106"/>
      <c r="N68" s="100"/>
      <c r="O68" s="100"/>
      <c r="P68" s="100"/>
      <c r="Q68" s="100"/>
      <c r="R68" s="100"/>
      <c r="S68" s="100"/>
      <c r="T68" s="100"/>
      <c r="U68" s="100"/>
      <c r="V68" s="100"/>
      <c r="W68" s="100"/>
      <c r="X68" s="100"/>
      <c r="Y68" s="106"/>
      <c r="AK68" s="100"/>
      <c r="AL68" s="100"/>
      <c r="AM68" s="100"/>
      <c r="AN68" s="100"/>
      <c r="AO68" s="100"/>
    </row>
    <row r="69" spans="1:41" s="104" customFormat="1">
      <c r="A69" s="100"/>
      <c r="B69" s="100"/>
      <c r="C69" s="100"/>
      <c r="D69" s="100"/>
      <c r="E69" s="100"/>
      <c r="F69" s="100"/>
      <c r="G69" s="100"/>
      <c r="H69" s="100"/>
      <c r="I69" s="100"/>
      <c r="J69" s="100"/>
      <c r="K69" s="100"/>
      <c r="M69" s="106"/>
      <c r="N69" s="100"/>
      <c r="O69" s="100"/>
      <c r="P69" s="100"/>
      <c r="Q69" s="100"/>
      <c r="R69" s="100"/>
      <c r="S69" s="100"/>
      <c r="T69" s="100"/>
      <c r="U69" s="100"/>
      <c r="V69" s="100"/>
      <c r="W69" s="100"/>
      <c r="X69" s="100"/>
      <c r="Y69" s="106"/>
      <c r="AK69" s="100"/>
      <c r="AL69" s="100"/>
      <c r="AM69" s="100"/>
      <c r="AN69" s="100"/>
      <c r="AO69" s="100"/>
    </row>
    <row r="70" spans="1:41" s="104" customFormat="1">
      <c r="A70" s="100"/>
      <c r="B70" s="100"/>
      <c r="C70" s="100"/>
      <c r="D70" s="100"/>
      <c r="E70" s="100"/>
      <c r="F70" s="100"/>
      <c r="G70" s="100"/>
      <c r="H70" s="100"/>
      <c r="I70" s="100"/>
      <c r="J70" s="100"/>
      <c r="K70" s="100"/>
      <c r="M70" s="106"/>
      <c r="N70" s="100"/>
      <c r="O70" s="100"/>
      <c r="P70" s="100"/>
      <c r="Q70" s="100"/>
      <c r="R70" s="100"/>
      <c r="S70" s="100"/>
      <c r="T70" s="100"/>
      <c r="U70" s="100"/>
      <c r="V70" s="100"/>
      <c r="W70" s="100"/>
      <c r="X70" s="100"/>
      <c r="Y70" s="106"/>
      <c r="AK70" s="100"/>
      <c r="AL70" s="100"/>
      <c r="AM70" s="100"/>
      <c r="AN70" s="100"/>
      <c r="AO70" s="100"/>
    </row>
    <row r="71" spans="1:41" s="104" customFormat="1">
      <c r="A71" s="100"/>
      <c r="B71" s="100"/>
      <c r="C71" s="100"/>
      <c r="D71" s="100"/>
      <c r="E71" s="100"/>
      <c r="F71" s="100"/>
      <c r="G71" s="100"/>
      <c r="H71" s="100"/>
      <c r="I71" s="100"/>
      <c r="J71" s="100"/>
      <c r="K71" s="100"/>
      <c r="M71" s="106"/>
      <c r="N71" s="100"/>
      <c r="O71" s="100"/>
      <c r="P71" s="100"/>
      <c r="Q71" s="100"/>
      <c r="R71" s="100"/>
      <c r="S71" s="100"/>
      <c r="T71" s="100"/>
      <c r="U71" s="100"/>
      <c r="V71" s="100"/>
      <c r="W71" s="100"/>
      <c r="X71" s="100"/>
      <c r="Y71" s="106"/>
      <c r="AK71" s="100"/>
      <c r="AL71" s="100"/>
      <c r="AM71" s="100"/>
      <c r="AN71" s="100"/>
      <c r="AO71" s="100"/>
    </row>
    <row r="129" spans="13:25" s="104" customFormat="1">
      <c r="M129" s="106"/>
      <c r="Y129" s="106"/>
    </row>
    <row r="130" spans="13:25" s="104" customFormat="1">
      <c r="M130" s="106"/>
      <c r="Y130" s="106"/>
    </row>
    <row r="131" spans="13:25" s="104" customFormat="1">
      <c r="M131" s="106"/>
      <c r="Y131" s="106"/>
    </row>
    <row r="132" spans="13:25" s="104" customFormat="1">
      <c r="M132" s="106"/>
      <c r="Y132" s="106"/>
    </row>
    <row r="133" spans="13:25" s="104" customFormat="1">
      <c r="M133" s="106"/>
      <c r="Y133" s="106"/>
    </row>
    <row r="134" spans="13:25" s="104" customFormat="1">
      <c r="M134" s="106"/>
      <c r="Y134" s="106"/>
    </row>
    <row r="135" spans="13:25" s="104" customFormat="1">
      <c r="M135" s="106"/>
      <c r="Y135" s="106"/>
    </row>
    <row r="136" spans="13:25" s="104" customFormat="1">
      <c r="M136" s="106"/>
      <c r="Y136" s="106"/>
    </row>
    <row r="137" spans="13:25" s="104" customFormat="1">
      <c r="M137" s="106"/>
      <c r="Y137" s="106"/>
    </row>
    <row r="138" spans="13:25" s="104" customFormat="1">
      <c r="M138" s="106"/>
      <c r="Y138" s="106"/>
    </row>
  </sheetData>
  <sheetProtection algorithmName="SHA-512" hashValue="vCqvR8UWWRzzT8dGaz+l/qrRo06wiCZtLMN/nKhmWDudvZJ9XVAO0N80VoBSKly7QQOL9cL24uCrftvoOd9Jiw==" saltValue="D5E/4v3VfiAtLY5Tgqu7jg==" spinCount="100000" sheet="1" objects="1" scenarios="1"/>
  <mergeCells count="38">
    <mergeCell ref="B34:D34"/>
    <mergeCell ref="B36:D36"/>
    <mergeCell ref="B38:D38"/>
    <mergeCell ref="B40:D40"/>
    <mergeCell ref="B24:D24"/>
    <mergeCell ref="B26:D26"/>
    <mergeCell ref="B28:D28"/>
    <mergeCell ref="B30:D30"/>
    <mergeCell ref="B32:D32"/>
    <mergeCell ref="B14:D14"/>
    <mergeCell ref="B16:D16"/>
    <mergeCell ref="B18:D18"/>
    <mergeCell ref="B20:D20"/>
    <mergeCell ref="B22:D22"/>
    <mergeCell ref="A3:K3"/>
    <mergeCell ref="B5:D5"/>
    <mergeCell ref="B7:D7"/>
    <mergeCell ref="B8:D10"/>
    <mergeCell ref="B12:D12"/>
    <mergeCell ref="O36:Q36"/>
    <mergeCell ref="O38:Q38"/>
    <mergeCell ref="O40:Q40"/>
    <mergeCell ref="O24:Q24"/>
    <mergeCell ref="O26:Q26"/>
    <mergeCell ref="O28:Q28"/>
    <mergeCell ref="O30:Q30"/>
    <mergeCell ref="O32:Q32"/>
    <mergeCell ref="O34:Q34"/>
    <mergeCell ref="O22:Q22"/>
    <mergeCell ref="N3:X3"/>
    <mergeCell ref="O5:Q5"/>
    <mergeCell ref="O7:Q7"/>
    <mergeCell ref="O8:Q10"/>
    <mergeCell ref="O12:Q12"/>
    <mergeCell ref="O14:Q14"/>
    <mergeCell ref="O16:Q16"/>
    <mergeCell ref="O18:Q18"/>
    <mergeCell ref="O20:Q20"/>
  </mergeCells>
  <pageMargins left="0.75" right="0.5" top="0.5" bottom="0.75" header="0" footer="0.5"/>
  <pageSetup scale="80" orientation="portrait" verticalDpi="4294967292" r:id="rId1"/>
  <headerFooter alignWithMargins="0">
    <oddFooter>&amp;C&amp;A&amp;R&amp;D &amp;T</oddFooter>
  </headerFooter>
  <rowBreaks count="2" manualBreakCount="2">
    <brk id="102" max="65535" man="1"/>
    <brk id="152" max="65535"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Y70"/>
  <sheetViews>
    <sheetView workbookViewId="0"/>
  </sheetViews>
  <sheetFormatPr defaultColWidth="11.42578125" defaultRowHeight="12.75"/>
  <cols>
    <col min="1" max="1" width="4.7109375" style="126" customWidth="1"/>
    <col min="2" max="2" width="45.42578125" style="4" customWidth="1"/>
    <col min="3" max="3" width="2.28515625" style="4" customWidth="1"/>
    <col min="4" max="4" width="15.7109375" style="4" customWidth="1"/>
    <col min="5" max="5" width="2.28515625" style="4" customWidth="1"/>
    <col min="6" max="6" width="15.7109375" style="4" customWidth="1"/>
    <col min="7" max="7" width="2.28515625" style="4" customWidth="1"/>
    <col min="8" max="8" width="15.7109375" style="4" customWidth="1"/>
    <col min="9" max="9" width="2.28515625" style="4" customWidth="1"/>
    <col min="10" max="10" width="22.7109375" style="4" customWidth="1"/>
    <col min="11" max="11" width="15.7109375" style="4" customWidth="1"/>
    <col min="12" max="12" width="11.42578125" style="40"/>
    <col min="13" max="13" width="5.7109375" style="41" customWidth="1"/>
    <col min="14" max="14" width="4.7109375" style="126" hidden="1" customWidth="1"/>
    <col min="15" max="15" width="45.42578125" style="4" hidden="1" customWidth="1"/>
    <col min="16" max="16" width="2.28515625" style="4" hidden="1" customWidth="1"/>
    <col min="17" max="17" width="13.7109375" style="4" hidden="1" customWidth="1"/>
    <col min="18" max="18" width="2.28515625" style="4" hidden="1" customWidth="1"/>
    <col min="19" max="19" width="15.7109375" style="4" hidden="1" customWidth="1"/>
    <col min="20" max="20" width="2.28515625" style="4" hidden="1" customWidth="1"/>
    <col min="21" max="21" width="15.7109375" style="4" hidden="1" customWidth="1"/>
    <col min="22" max="22" width="10.7109375" style="4" hidden="1" customWidth="1"/>
    <col min="23" max="23" width="5.7109375" style="6" customWidth="1"/>
    <col min="24" max="25" width="10.7109375" style="4" customWidth="1"/>
    <col min="26" max="16384" width="11.42578125" style="40"/>
  </cols>
  <sheetData>
    <row r="1" spans="1:25">
      <c r="A1" s="1302" t="str">
        <f>IF('FORM 1040-1'!D15="","",'FORM 1040-1'!D15)</f>
        <v/>
      </c>
      <c r="B1" s="1303"/>
      <c r="C1" s="1303"/>
      <c r="D1" s="1303"/>
      <c r="E1" s="1303"/>
      <c r="F1" s="1303"/>
      <c r="G1" s="1303"/>
      <c r="H1" s="1294" t="str">
        <f>IF('FORM 1040-1'!$E$12="","",'FORM 1040-1'!$E$12)</f>
        <v/>
      </c>
      <c r="I1" s="814"/>
      <c r="J1" s="814"/>
      <c r="K1" s="814"/>
      <c r="O1" s="814"/>
      <c r="P1" s="814"/>
      <c r="Q1" s="814"/>
      <c r="R1" s="814"/>
      <c r="S1" s="814"/>
      <c r="T1" s="814"/>
      <c r="U1" s="814"/>
      <c r="V1" s="814"/>
      <c r="X1" s="814"/>
      <c r="Y1" s="814"/>
    </row>
    <row r="2" spans="1:25">
      <c r="B2" s="814"/>
      <c r="C2" s="814"/>
      <c r="D2" s="814"/>
      <c r="E2" s="814"/>
      <c r="F2" s="814"/>
      <c r="G2" s="814"/>
      <c r="H2" s="814"/>
      <c r="I2" s="814"/>
      <c r="J2" s="1710" t="s">
        <v>1621</v>
      </c>
      <c r="K2" s="1710"/>
      <c r="O2" s="814"/>
      <c r="P2" s="814"/>
      <c r="Q2" s="814"/>
      <c r="R2" s="814"/>
      <c r="S2" s="814"/>
      <c r="T2" s="814"/>
      <c r="U2" s="814"/>
      <c r="V2" s="814"/>
      <c r="X2" s="814"/>
      <c r="Y2" s="814"/>
    </row>
    <row r="3" spans="1:25" ht="12.75" customHeight="1">
      <c r="A3" s="125" t="s">
        <v>58</v>
      </c>
      <c r="B3" s="4" t="s">
        <v>783</v>
      </c>
      <c r="J3" s="1710"/>
      <c r="K3" s="1710"/>
      <c r="N3" s="125" t="s">
        <v>58</v>
      </c>
      <c r="O3" s="4" t="s">
        <v>783</v>
      </c>
      <c r="V3" s="293" t="s">
        <v>1625</v>
      </c>
      <c r="W3" s="41"/>
      <c r="X3" s="40"/>
      <c r="Y3" s="40"/>
    </row>
    <row r="4" spans="1:25">
      <c r="J4" s="1710"/>
      <c r="K4" s="1710"/>
      <c r="V4" s="293" t="s">
        <v>1626</v>
      </c>
      <c r="W4" s="41"/>
      <c r="X4" s="40"/>
      <c r="Y4" s="40"/>
    </row>
    <row r="5" spans="1:25" ht="15.75" customHeight="1">
      <c r="F5" s="5" t="s">
        <v>352</v>
      </c>
      <c r="G5" s="5"/>
      <c r="H5" s="5"/>
      <c r="J5" s="40"/>
      <c r="K5" s="40"/>
      <c r="S5" s="5" t="s">
        <v>352</v>
      </c>
      <c r="T5" s="5"/>
      <c r="U5" s="5"/>
      <c r="V5" s="40"/>
      <c r="W5" s="41"/>
      <c r="X5" s="40"/>
      <c r="Y5" s="40"/>
    </row>
    <row r="6" spans="1:25" ht="13.5" thickBot="1">
      <c r="B6" s="4" t="s">
        <v>41</v>
      </c>
      <c r="F6" s="5" t="s">
        <v>353</v>
      </c>
      <c r="G6" s="5"/>
      <c r="H6" s="5"/>
      <c r="J6" s="40"/>
      <c r="K6" s="40"/>
      <c r="O6" s="4" t="s">
        <v>41</v>
      </c>
      <c r="S6" s="5" t="s">
        <v>353</v>
      </c>
      <c r="T6" s="5"/>
      <c r="U6" s="5"/>
      <c r="V6" s="40"/>
      <c r="W6" s="41"/>
      <c r="X6" s="40"/>
      <c r="Y6" s="40"/>
    </row>
    <row r="7" spans="1:25" ht="14.1" customHeight="1" thickTop="1">
      <c r="B7" s="127"/>
      <c r="C7" s="26"/>
      <c r="D7" s="46" t="str">
        <f>"(1) *"</f>
        <v>(1) *</v>
      </c>
      <c r="E7" s="8"/>
      <c r="F7" s="109" t="str">
        <f>"(A) * "</f>
        <v xml:space="preserve">(A) * </v>
      </c>
      <c r="G7" s="128"/>
      <c r="H7" s="109" t="str">
        <f>"(B) * "</f>
        <v xml:space="preserve">(B) * </v>
      </c>
      <c r="K7" s="647"/>
      <c r="O7" s="127"/>
      <c r="P7" s="26"/>
      <c r="Q7" s="46" t="str">
        <f>"(1) *"</f>
        <v>(1) *</v>
      </c>
      <c r="R7" s="8"/>
      <c r="S7" s="109" t="str">
        <f>"(A) * "</f>
        <v xml:space="preserve">(A) * </v>
      </c>
      <c r="T7" s="128"/>
      <c r="U7" s="109" t="str">
        <f>"(B) * "</f>
        <v xml:space="preserve">(B) * </v>
      </c>
      <c r="V7" s="40"/>
      <c r="W7" s="41"/>
      <c r="X7" s="40"/>
      <c r="Y7" s="40"/>
    </row>
    <row r="8" spans="1:25" ht="14.1" customHeight="1">
      <c r="A8" s="129"/>
      <c r="B8" s="130"/>
      <c r="C8" s="8"/>
      <c r="D8" s="110" t="s">
        <v>100</v>
      </c>
      <c r="E8" s="8"/>
      <c r="F8" s="110" t="s">
        <v>354</v>
      </c>
      <c r="G8" s="131"/>
      <c r="H8" s="130"/>
      <c r="I8" s="8"/>
      <c r="J8" s="1713" t="s">
        <v>1641</v>
      </c>
      <c r="K8" s="1713"/>
      <c r="N8" s="129"/>
      <c r="O8" s="130"/>
      <c r="P8" s="8"/>
      <c r="Q8" s="110" t="s">
        <v>100</v>
      </c>
      <c r="R8" s="8"/>
      <c r="S8" s="110" t="s">
        <v>354</v>
      </c>
      <c r="T8" s="131"/>
      <c r="U8" s="130"/>
      <c r="V8" s="40"/>
      <c r="W8" s="41"/>
      <c r="X8" s="40"/>
      <c r="Y8" s="40"/>
    </row>
    <row r="9" spans="1:25" ht="14.1" customHeight="1">
      <c r="B9" s="130"/>
      <c r="C9" s="26"/>
      <c r="D9" s="110" t="s">
        <v>356</v>
      </c>
      <c r="E9" s="8"/>
      <c r="F9" s="110" t="s">
        <v>355</v>
      </c>
      <c r="G9" s="131"/>
      <c r="H9" s="130"/>
      <c r="J9" s="1713"/>
      <c r="K9" s="1713"/>
      <c r="O9" s="130"/>
      <c r="P9" s="26"/>
      <c r="Q9" s="110" t="s">
        <v>356</v>
      </c>
      <c r="R9" s="8"/>
      <c r="S9" s="110" t="s">
        <v>355</v>
      </c>
      <c r="T9" s="131"/>
      <c r="U9" s="130"/>
      <c r="V9" s="40"/>
      <c r="W9" s="41"/>
      <c r="X9" s="40"/>
      <c r="Y9" s="40"/>
    </row>
    <row r="10" spans="1:25" ht="14.1" customHeight="1" thickBot="1">
      <c r="B10" s="51" t="s">
        <v>98</v>
      </c>
      <c r="C10" s="26"/>
      <c r="D10" s="51" t="s">
        <v>563</v>
      </c>
      <c r="E10" s="8"/>
      <c r="F10" s="51" t="s">
        <v>358</v>
      </c>
      <c r="G10" s="131"/>
      <c r="H10" s="51" t="s">
        <v>359</v>
      </c>
      <c r="J10" s="1714"/>
      <c r="K10" s="1714"/>
      <c r="O10" s="51" t="s">
        <v>98</v>
      </c>
      <c r="P10" s="26" t="s">
        <v>357</v>
      </c>
      <c r="Q10" s="51" t="s">
        <v>563</v>
      </c>
      <c r="R10" s="8"/>
      <c r="S10" s="51" t="s">
        <v>358</v>
      </c>
      <c r="T10" s="131"/>
      <c r="U10" s="51" t="s">
        <v>359</v>
      </c>
      <c r="V10" s="40"/>
      <c r="W10" s="41"/>
      <c r="X10" s="40"/>
      <c r="Y10" s="40"/>
    </row>
    <row r="11" spans="1:25" ht="17.45" customHeight="1" thickTop="1" thickBot="1">
      <c r="A11" s="132">
        <v>1</v>
      </c>
      <c r="B11" s="133" t="s">
        <v>360</v>
      </c>
      <c r="C11" s="26"/>
      <c r="D11" s="134"/>
      <c r="E11" s="8"/>
      <c r="F11" s="1589" t="s">
        <v>2725</v>
      </c>
      <c r="G11" s="113"/>
      <c r="H11" s="1589" t="s">
        <v>2725</v>
      </c>
      <c r="J11" s="1711" t="s">
        <v>1643</v>
      </c>
      <c r="K11" s="1712"/>
      <c r="N11" s="132">
        <v>1</v>
      </c>
      <c r="O11" s="133" t="s">
        <v>360</v>
      </c>
      <c r="P11" s="26"/>
      <c r="Q11" s="136">
        <f>IF(D11="",0,(D11))</f>
        <v>0</v>
      </c>
      <c r="R11" s="8"/>
      <c r="S11" s="135" t="s">
        <v>153</v>
      </c>
      <c r="T11" s="113"/>
      <c r="U11" s="135" t="s">
        <v>153</v>
      </c>
      <c r="V11" s="40"/>
      <c r="W11" s="41"/>
      <c r="X11" s="40"/>
      <c r="Y11" s="40"/>
    </row>
    <row r="12" spans="1:25" ht="17.45" customHeight="1" thickTop="1" thickBot="1">
      <c r="A12" s="132">
        <v>2</v>
      </c>
      <c r="B12" s="133" t="s">
        <v>1635</v>
      </c>
      <c r="C12" s="26"/>
      <c r="D12" s="134"/>
      <c r="E12" s="8"/>
      <c r="F12" s="1589" t="s">
        <v>2725</v>
      </c>
      <c r="G12" s="113"/>
      <c r="H12" s="134"/>
      <c r="J12" s="672"/>
      <c r="K12" s="1253"/>
      <c r="N12" s="132">
        <v>2</v>
      </c>
      <c r="O12" s="133" t="s">
        <v>1491</v>
      </c>
      <c r="P12" s="26"/>
      <c r="Q12" s="136">
        <f>IF(D12="",0,(D12))</f>
        <v>0</v>
      </c>
      <c r="R12" s="8"/>
      <c r="S12" s="135" t="s">
        <v>153</v>
      </c>
      <c r="T12" s="113"/>
      <c r="U12" s="136">
        <f>IF(H12="",0,(H12))</f>
        <v>0</v>
      </c>
      <c r="V12" s="40"/>
      <c r="W12" s="41"/>
      <c r="X12" s="40"/>
      <c r="Y12" s="40"/>
    </row>
    <row r="13" spans="1:25" ht="17.45" customHeight="1" thickTop="1" thickBot="1">
      <c r="A13" s="132">
        <v>3</v>
      </c>
      <c r="B13" s="133" t="s">
        <v>361</v>
      </c>
      <c r="C13" s="26"/>
      <c r="D13" s="134"/>
      <c r="E13" s="8"/>
      <c r="F13" s="1589" t="s">
        <v>2725</v>
      </c>
      <c r="G13" s="113"/>
      <c r="H13" s="1589" t="s">
        <v>2725</v>
      </c>
      <c r="N13" s="132">
        <v>3</v>
      </c>
      <c r="O13" s="133" t="s">
        <v>361</v>
      </c>
      <c r="P13" s="26"/>
      <c r="Q13" s="136">
        <f>IF(D13="",0,(D13))</f>
        <v>0</v>
      </c>
      <c r="R13" s="8"/>
      <c r="S13" s="135" t="s">
        <v>153</v>
      </c>
      <c r="T13" s="113"/>
      <c r="U13" s="135" t="s">
        <v>153</v>
      </c>
    </row>
    <row r="14" spans="1:25" ht="17.45" customHeight="1" thickTop="1" thickBot="1">
      <c r="A14" s="132">
        <v>4</v>
      </c>
      <c r="B14" s="137" t="s">
        <v>2107</v>
      </c>
      <c r="C14" s="8"/>
      <c r="D14" s="138"/>
      <c r="E14" s="8"/>
      <c r="F14" s="138"/>
      <c r="G14" s="107"/>
      <c r="H14" s="1589" t="s">
        <v>2725</v>
      </c>
      <c r="J14" s="1715" t="s">
        <v>2155</v>
      </c>
      <c r="K14" s="1707">
        <f>IF(K12="YES",Q54,Q55)</f>
        <v>0</v>
      </c>
      <c r="N14" s="132">
        <v>4</v>
      </c>
      <c r="O14" s="137" t="s">
        <v>1483</v>
      </c>
      <c r="P14" s="8"/>
      <c r="Q14" s="139">
        <f>IF(D14="",0,(D14))</f>
        <v>0</v>
      </c>
      <c r="R14" s="8"/>
      <c r="S14" s="139">
        <f>IF(F14="",0,(F14))</f>
        <v>0</v>
      </c>
      <c r="T14" s="107"/>
      <c r="U14" s="139"/>
    </row>
    <row r="15" spans="1:25" ht="17.45" customHeight="1" thickTop="1" thickBot="1">
      <c r="A15" s="132">
        <v>5</v>
      </c>
      <c r="B15" s="133" t="s">
        <v>362</v>
      </c>
      <c r="C15" s="26"/>
      <c r="D15" s="134"/>
      <c r="E15" s="8"/>
      <c r="F15" s="134"/>
      <c r="G15" s="140"/>
      <c r="H15" s="1589" t="s">
        <v>2725</v>
      </c>
      <c r="J15" s="1705"/>
      <c r="K15" s="1708"/>
      <c r="N15" s="132">
        <v>5</v>
      </c>
      <c r="O15" s="133" t="s">
        <v>362</v>
      </c>
      <c r="P15" s="26"/>
      <c r="Q15" s="136">
        <f>IF(D15="",0,(D15))</f>
        <v>0</v>
      </c>
      <c r="R15" s="8"/>
      <c r="S15" s="136">
        <f t="shared" ref="S15:S18" si="0">IF(F15="",0,(F15))</f>
        <v>0</v>
      </c>
      <c r="T15" s="140"/>
      <c r="U15" s="136"/>
    </row>
    <row r="16" spans="1:25" ht="17.45" customHeight="1" thickTop="1" thickBot="1">
      <c r="A16" s="132">
        <v>6</v>
      </c>
      <c r="B16" s="133" t="s">
        <v>363</v>
      </c>
      <c r="C16" s="26"/>
      <c r="D16" s="134"/>
      <c r="E16" s="8"/>
      <c r="F16" s="134"/>
      <c r="G16" s="140"/>
      <c r="H16" s="1589" t="s">
        <v>2725</v>
      </c>
      <c r="J16" s="1705" t="s">
        <v>2156</v>
      </c>
      <c r="K16" s="1708">
        <f>IF(K12="YES",S54,S55)</f>
        <v>0</v>
      </c>
      <c r="N16" s="132">
        <v>6</v>
      </c>
      <c r="O16" s="133" t="s">
        <v>363</v>
      </c>
      <c r="P16" s="26"/>
      <c r="Q16" s="136">
        <f t="shared" ref="Q16:Q40" si="1">IF(D16="",0,(D16))</f>
        <v>0</v>
      </c>
      <c r="R16" s="8"/>
      <c r="S16" s="136">
        <f t="shared" si="0"/>
        <v>0</v>
      </c>
      <c r="T16" s="140"/>
      <c r="U16" s="136"/>
    </row>
    <row r="17" spans="1:22" ht="17.45" customHeight="1" thickTop="1" thickBot="1">
      <c r="A17" s="132">
        <v>7</v>
      </c>
      <c r="B17" s="133" t="s">
        <v>364</v>
      </c>
      <c r="C17" s="26"/>
      <c r="D17" s="134"/>
      <c r="E17" s="8"/>
      <c r="F17" s="134"/>
      <c r="G17" s="140"/>
      <c r="H17" s="1589" t="s">
        <v>2725</v>
      </c>
      <c r="J17" s="1706"/>
      <c r="K17" s="1709"/>
      <c r="N17" s="132">
        <v>7</v>
      </c>
      <c r="O17" s="133" t="s">
        <v>364</v>
      </c>
      <c r="P17" s="26"/>
      <c r="Q17" s="136">
        <f t="shared" si="1"/>
        <v>0</v>
      </c>
      <c r="R17" s="8"/>
      <c r="S17" s="136">
        <f t="shared" si="0"/>
        <v>0</v>
      </c>
      <c r="T17" s="140"/>
      <c r="U17" s="136"/>
    </row>
    <row r="18" spans="1:22" ht="17.45" customHeight="1" thickTop="1" thickBot="1">
      <c r="A18" s="132">
        <v>8</v>
      </c>
      <c r="B18" s="133" t="s">
        <v>365</v>
      </c>
      <c r="C18" s="26"/>
      <c r="D18" s="134"/>
      <c r="E18" s="8"/>
      <c r="F18" s="134"/>
      <c r="G18" s="140"/>
      <c r="H18" s="1589" t="s">
        <v>2725</v>
      </c>
      <c r="N18" s="132">
        <v>8</v>
      </c>
      <c r="O18" s="133" t="s">
        <v>365</v>
      </c>
      <c r="P18" s="26"/>
      <c r="Q18" s="136">
        <f t="shared" si="1"/>
        <v>0</v>
      </c>
      <c r="R18" s="8"/>
      <c r="S18" s="136">
        <f t="shared" si="0"/>
        <v>0</v>
      </c>
      <c r="T18" s="140"/>
      <c r="U18" s="136"/>
    </row>
    <row r="19" spans="1:22" ht="17.45" customHeight="1" thickTop="1" thickBot="1">
      <c r="A19" s="132">
        <v>9</v>
      </c>
      <c r="B19" s="133" t="s">
        <v>562</v>
      </c>
      <c r="C19" s="26"/>
      <c r="D19" s="134"/>
      <c r="E19" s="8"/>
      <c r="F19" s="1589" t="s">
        <v>2725</v>
      </c>
      <c r="G19" s="113"/>
      <c r="H19" s="1589" t="s">
        <v>2725</v>
      </c>
      <c r="J19" s="1717" t="s">
        <v>585</v>
      </c>
      <c r="K19" s="1718"/>
      <c r="N19" s="132">
        <v>9</v>
      </c>
      <c r="O19" s="133" t="s">
        <v>562</v>
      </c>
      <c r="P19" s="26"/>
      <c r="Q19" s="136">
        <f t="shared" si="1"/>
        <v>0</v>
      </c>
      <c r="R19" s="8"/>
      <c r="S19" s="135" t="s">
        <v>153</v>
      </c>
      <c r="T19" s="113"/>
      <c r="U19" s="135" t="s">
        <v>153</v>
      </c>
    </row>
    <row r="20" spans="1:22" ht="17.45" customHeight="1" thickTop="1" thickBot="1">
      <c r="A20" s="132">
        <v>10</v>
      </c>
      <c r="B20" s="133" t="s">
        <v>2104</v>
      </c>
      <c r="C20" s="26"/>
      <c r="D20" s="134"/>
      <c r="E20" s="8"/>
      <c r="F20" s="134"/>
      <c r="G20" s="140"/>
      <c r="H20" s="1589" t="s">
        <v>2725</v>
      </c>
      <c r="J20" s="664" t="s">
        <v>586</v>
      </c>
      <c r="K20" s="1145">
        <f>SUM(F15:F18)*0.06</f>
        <v>0</v>
      </c>
      <c r="N20" s="132">
        <v>10</v>
      </c>
      <c r="O20" s="133" t="s">
        <v>366</v>
      </c>
      <c r="P20" s="26"/>
      <c r="Q20" s="136">
        <f t="shared" si="1"/>
        <v>0</v>
      </c>
      <c r="R20" s="8"/>
      <c r="S20" s="136">
        <f t="shared" ref="S20:S34" si="2">IF(F20="",0,(F20))</f>
        <v>0</v>
      </c>
      <c r="T20" s="140"/>
      <c r="U20" s="136"/>
      <c r="V20" s="105">
        <f>+K20-F20</f>
        <v>0</v>
      </c>
    </row>
    <row r="21" spans="1:22" ht="17.45" customHeight="1" thickTop="1" thickBot="1">
      <c r="A21" s="132">
        <v>11</v>
      </c>
      <c r="B21" s="133" t="s">
        <v>2105</v>
      </c>
      <c r="C21" s="26"/>
      <c r="D21" s="134"/>
      <c r="E21" s="8"/>
      <c r="F21" s="134"/>
      <c r="G21" s="140"/>
      <c r="H21" s="1589" t="s">
        <v>2725</v>
      </c>
      <c r="J21" s="664" t="s">
        <v>587</v>
      </c>
      <c r="K21" s="1145">
        <f>SUM(F15:F18)*0.02</f>
        <v>0</v>
      </c>
      <c r="N21" s="132">
        <v>11</v>
      </c>
      <c r="O21" s="133" t="s">
        <v>367</v>
      </c>
      <c r="P21" s="26"/>
      <c r="Q21" s="136">
        <f t="shared" si="1"/>
        <v>0</v>
      </c>
      <c r="R21" s="8"/>
      <c r="S21" s="136">
        <f t="shared" si="2"/>
        <v>0</v>
      </c>
      <c r="T21" s="140"/>
      <c r="U21" s="136"/>
      <c r="V21" s="105">
        <f>+K21-F21</f>
        <v>0</v>
      </c>
    </row>
    <row r="22" spans="1:22" ht="17.45" customHeight="1" thickTop="1" thickBot="1">
      <c r="A22" s="132">
        <v>12</v>
      </c>
      <c r="B22" s="133" t="s">
        <v>2106</v>
      </c>
      <c r="C22" s="26"/>
      <c r="D22" s="134"/>
      <c r="E22" s="8"/>
      <c r="F22" s="134"/>
      <c r="G22" s="140"/>
      <c r="H22" s="1589" t="s">
        <v>2725</v>
      </c>
      <c r="J22" s="665" t="s">
        <v>588</v>
      </c>
      <c r="K22" s="1146">
        <f>SUM(F15:F18)*0.06</f>
        <v>0</v>
      </c>
      <c r="N22" s="132">
        <v>12</v>
      </c>
      <c r="O22" s="133" t="s">
        <v>368</v>
      </c>
      <c r="P22" s="26"/>
      <c r="Q22" s="136">
        <f t="shared" si="1"/>
        <v>0</v>
      </c>
      <c r="R22" s="8"/>
      <c r="S22" s="136">
        <f t="shared" si="2"/>
        <v>0</v>
      </c>
      <c r="T22" s="140"/>
      <c r="U22" s="136"/>
      <c r="V22" s="105">
        <f>+K22-F22</f>
        <v>0</v>
      </c>
    </row>
    <row r="23" spans="1:22" ht="17.45" customHeight="1" thickTop="1" thickBot="1">
      <c r="A23" s="132">
        <v>13</v>
      </c>
      <c r="B23" s="133" t="s">
        <v>1475</v>
      </c>
      <c r="C23" s="26"/>
      <c r="D23" s="134"/>
      <c r="E23" s="8"/>
      <c r="F23" s="134"/>
      <c r="G23" s="140"/>
      <c r="H23" s="1589" t="s">
        <v>2725</v>
      </c>
      <c r="N23" s="132">
        <v>13</v>
      </c>
      <c r="O23" s="133" t="s">
        <v>369</v>
      </c>
      <c r="P23" s="26"/>
      <c r="Q23" s="136">
        <f t="shared" si="1"/>
        <v>0</v>
      </c>
      <c r="R23" s="8"/>
      <c r="S23" s="136">
        <f t="shared" si="2"/>
        <v>0</v>
      </c>
      <c r="T23" s="140"/>
      <c r="U23" s="136"/>
    </row>
    <row r="24" spans="1:22" ht="17.45" customHeight="1" thickTop="1" thickBot="1">
      <c r="A24" s="132">
        <v>14</v>
      </c>
      <c r="B24" s="141" t="s">
        <v>1476</v>
      </c>
      <c r="C24" s="26"/>
      <c r="D24" s="134"/>
      <c r="E24" s="8"/>
      <c r="F24" s="134"/>
      <c r="G24" s="140"/>
      <c r="H24" s="1589" t="s">
        <v>2725</v>
      </c>
      <c r="J24" s="1723" t="s">
        <v>1642</v>
      </c>
      <c r="K24" s="1723"/>
      <c r="N24" s="132">
        <v>14</v>
      </c>
      <c r="O24" s="141" t="s">
        <v>370</v>
      </c>
      <c r="P24" s="26"/>
      <c r="Q24" s="136">
        <f t="shared" si="1"/>
        <v>0</v>
      </c>
      <c r="R24" s="8"/>
      <c r="S24" s="136">
        <f t="shared" si="2"/>
        <v>0</v>
      </c>
      <c r="T24" s="140"/>
      <c r="U24" s="136"/>
    </row>
    <row r="25" spans="1:22" ht="17.45" customHeight="1" thickTop="1" thickBot="1">
      <c r="A25" s="132">
        <v>15</v>
      </c>
      <c r="B25" s="141" t="s">
        <v>371</v>
      </c>
      <c r="C25" s="26"/>
      <c r="D25" s="134"/>
      <c r="E25" s="8"/>
      <c r="F25" s="134"/>
      <c r="G25" s="140"/>
      <c r="H25" s="1589" t="s">
        <v>2725</v>
      </c>
      <c r="J25" s="1723"/>
      <c r="K25" s="1723"/>
      <c r="N25" s="132">
        <v>15</v>
      </c>
      <c r="O25" s="141" t="s">
        <v>371</v>
      </c>
      <c r="P25" s="26"/>
      <c r="Q25" s="136">
        <f t="shared" si="1"/>
        <v>0</v>
      </c>
      <c r="R25" s="8"/>
      <c r="S25" s="136">
        <f t="shared" si="2"/>
        <v>0</v>
      </c>
      <c r="T25" s="140"/>
      <c r="U25" s="136"/>
    </row>
    <row r="26" spans="1:22" ht="17.45" customHeight="1" thickTop="1" thickBot="1">
      <c r="A26" s="132">
        <v>16</v>
      </c>
      <c r="B26" s="133" t="s">
        <v>372</v>
      </c>
      <c r="C26" s="26"/>
      <c r="D26" s="134"/>
      <c r="E26" s="8"/>
      <c r="F26" s="134"/>
      <c r="G26" s="140"/>
      <c r="H26" s="1589" t="s">
        <v>2725</v>
      </c>
      <c r="J26" s="1723"/>
      <c r="K26" s="1723"/>
      <c r="N26" s="132">
        <v>16</v>
      </c>
      <c r="O26" s="133" t="s">
        <v>372</v>
      </c>
      <c r="P26" s="26"/>
      <c r="Q26" s="136">
        <f t="shared" si="1"/>
        <v>0</v>
      </c>
      <c r="R26" s="8"/>
      <c r="S26" s="136">
        <f t="shared" si="2"/>
        <v>0</v>
      </c>
      <c r="T26" s="140"/>
      <c r="U26" s="136"/>
    </row>
    <row r="27" spans="1:22" ht="17.45" customHeight="1" thickTop="1" thickBot="1">
      <c r="A27" s="132">
        <v>17</v>
      </c>
      <c r="B27" s="133" t="s">
        <v>375</v>
      </c>
      <c r="C27" s="26"/>
      <c r="D27" s="134"/>
      <c r="E27" s="8"/>
      <c r="F27" s="134"/>
      <c r="G27" s="140"/>
      <c r="H27" s="134"/>
      <c r="J27" s="1728" t="s">
        <v>2025</v>
      </c>
      <c r="K27" s="1729"/>
      <c r="N27" s="132">
        <v>17</v>
      </c>
      <c r="O27" s="133" t="s">
        <v>375</v>
      </c>
      <c r="P27" s="26"/>
      <c r="Q27" s="136">
        <f t="shared" si="1"/>
        <v>0</v>
      </c>
      <c r="R27" s="8"/>
      <c r="S27" s="136">
        <f t="shared" si="2"/>
        <v>0</v>
      </c>
      <c r="T27" s="140"/>
      <c r="U27" s="136">
        <f t="shared" ref="U27:U34" si="3">IF(H27="",0,(H27))</f>
        <v>0</v>
      </c>
    </row>
    <row r="28" spans="1:22" ht="17.45" customHeight="1" thickTop="1" thickBot="1">
      <c r="A28" s="132">
        <v>18</v>
      </c>
      <c r="B28" s="133" t="s">
        <v>377</v>
      </c>
      <c r="C28" s="26"/>
      <c r="D28" s="134"/>
      <c r="E28" s="8"/>
      <c r="F28" s="134"/>
      <c r="G28" s="140"/>
      <c r="H28" s="134"/>
      <c r="J28" s="1730"/>
      <c r="K28" s="1731"/>
      <c r="N28" s="132">
        <v>18</v>
      </c>
      <c r="O28" s="133" t="s">
        <v>377</v>
      </c>
      <c r="P28" s="26"/>
      <c r="Q28" s="136">
        <f t="shared" si="1"/>
        <v>0</v>
      </c>
      <c r="R28" s="8"/>
      <c r="S28" s="136">
        <f t="shared" si="2"/>
        <v>0</v>
      </c>
      <c r="T28" s="140"/>
      <c r="U28" s="136">
        <f t="shared" si="3"/>
        <v>0</v>
      </c>
    </row>
    <row r="29" spans="1:22" ht="17.45" customHeight="1" thickTop="1" thickBot="1">
      <c r="A29" s="132">
        <v>19</v>
      </c>
      <c r="B29" s="137" t="s">
        <v>577</v>
      </c>
      <c r="C29" s="26"/>
      <c r="D29" s="142"/>
      <c r="E29" s="8"/>
      <c r="F29" s="142"/>
      <c r="G29" s="140"/>
      <c r="H29" s="142"/>
      <c r="I29" s="40"/>
      <c r="J29" s="1730"/>
      <c r="K29" s="1731"/>
      <c r="N29" s="132">
        <v>19</v>
      </c>
      <c r="O29" s="137" t="s">
        <v>577</v>
      </c>
      <c r="P29" s="26"/>
      <c r="Q29" s="143">
        <f t="shared" si="1"/>
        <v>0</v>
      </c>
      <c r="R29" s="8"/>
      <c r="S29" s="143">
        <f t="shared" si="2"/>
        <v>0</v>
      </c>
      <c r="T29" s="140"/>
      <c r="U29" s="143">
        <f t="shared" si="3"/>
        <v>0</v>
      </c>
    </row>
    <row r="30" spans="1:22" ht="17.45" customHeight="1" thickTop="1" thickBot="1">
      <c r="A30" s="132">
        <v>20</v>
      </c>
      <c r="B30" s="141" t="s">
        <v>380</v>
      </c>
      <c r="C30" s="26"/>
      <c r="D30" s="134"/>
      <c r="E30" s="8"/>
      <c r="F30" s="134"/>
      <c r="G30" s="140"/>
      <c r="H30" s="134"/>
      <c r="I30" s="40"/>
      <c r="J30" s="673"/>
      <c r="K30" s="1254"/>
      <c r="N30" s="132">
        <v>20</v>
      </c>
      <c r="O30" s="141" t="s">
        <v>380</v>
      </c>
      <c r="P30" s="26"/>
      <c r="Q30" s="136">
        <f t="shared" si="1"/>
        <v>0</v>
      </c>
      <c r="R30" s="8"/>
      <c r="S30" s="136">
        <f t="shared" si="2"/>
        <v>0</v>
      </c>
      <c r="T30" s="140"/>
      <c r="U30" s="136">
        <f t="shared" si="3"/>
        <v>0</v>
      </c>
    </row>
    <row r="31" spans="1:22" ht="17.45" customHeight="1" thickTop="1" thickBot="1">
      <c r="A31" s="132">
        <v>21</v>
      </c>
      <c r="B31" s="133" t="s">
        <v>381</v>
      </c>
      <c r="C31" s="26"/>
      <c r="D31" s="134"/>
      <c r="E31" s="8"/>
      <c r="F31" s="134"/>
      <c r="G31" s="140"/>
      <c r="H31" s="134"/>
      <c r="I31" s="40"/>
      <c r="J31" s="1724" t="s">
        <v>2409</v>
      </c>
      <c r="K31" s="1725"/>
      <c r="N31" s="132">
        <v>21</v>
      </c>
      <c r="O31" s="133" t="s">
        <v>381</v>
      </c>
      <c r="P31" s="26"/>
      <c r="Q31" s="136">
        <f t="shared" si="1"/>
        <v>0</v>
      </c>
      <c r="R31" s="8"/>
      <c r="S31" s="136">
        <f t="shared" si="2"/>
        <v>0</v>
      </c>
      <c r="T31" s="140"/>
      <c r="U31" s="136">
        <f t="shared" si="3"/>
        <v>0</v>
      </c>
    </row>
    <row r="32" spans="1:22" ht="17.45" customHeight="1" thickTop="1" thickBot="1">
      <c r="A32" s="132">
        <v>22</v>
      </c>
      <c r="B32" s="133" t="s">
        <v>383</v>
      </c>
      <c r="C32" s="26"/>
      <c r="D32" s="134"/>
      <c r="E32" s="8"/>
      <c r="F32" s="134"/>
      <c r="G32" s="140"/>
      <c r="H32" s="134"/>
      <c r="I32" s="40"/>
      <c r="J32" s="1726"/>
      <c r="K32" s="1727"/>
      <c r="N32" s="132">
        <v>22</v>
      </c>
      <c r="O32" s="133" t="s">
        <v>383</v>
      </c>
      <c r="P32" s="26"/>
      <c r="Q32" s="136">
        <f t="shared" si="1"/>
        <v>0</v>
      </c>
      <c r="R32" s="8"/>
      <c r="S32" s="136">
        <f t="shared" si="2"/>
        <v>0</v>
      </c>
      <c r="T32" s="140"/>
      <c r="U32" s="136">
        <f t="shared" si="3"/>
        <v>0</v>
      </c>
    </row>
    <row r="33" spans="1:25" ht="17.45" customHeight="1" thickTop="1" thickBot="1">
      <c r="A33" s="132">
        <v>23</v>
      </c>
      <c r="B33" s="133" t="s">
        <v>1492</v>
      </c>
      <c r="C33" s="26"/>
      <c r="D33" s="134"/>
      <c r="E33" s="8"/>
      <c r="F33" s="134"/>
      <c r="G33" s="140"/>
      <c r="H33" s="134"/>
      <c r="I33" s="40"/>
      <c r="J33" s="1726"/>
      <c r="K33" s="1727"/>
      <c r="N33" s="132">
        <v>23</v>
      </c>
      <c r="O33" s="133" t="s">
        <v>1492</v>
      </c>
      <c r="P33" s="26"/>
      <c r="Q33" s="136">
        <f t="shared" si="1"/>
        <v>0</v>
      </c>
      <c r="R33" s="8"/>
      <c r="S33" s="136">
        <f t="shared" si="2"/>
        <v>0</v>
      </c>
      <c r="T33" s="140"/>
      <c r="U33" s="136">
        <f t="shared" si="3"/>
        <v>0</v>
      </c>
    </row>
    <row r="34" spans="1:25" ht="17.45" customHeight="1" thickTop="1" thickBot="1">
      <c r="A34" s="132">
        <v>24</v>
      </c>
      <c r="B34" s="133" t="s">
        <v>384</v>
      </c>
      <c r="C34" s="26"/>
      <c r="D34" s="134"/>
      <c r="E34" s="8"/>
      <c r="F34" s="134"/>
      <c r="G34" s="140"/>
      <c r="H34" s="578"/>
      <c r="I34" s="40"/>
      <c r="J34" s="9"/>
      <c r="K34" s="1255"/>
      <c r="N34" s="132">
        <v>24</v>
      </c>
      <c r="O34" s="133" t="s">
        <v>384</v>
      </c>
      <c r="P34" s="26"/>
      <c r="Q34" s="136">
        <f t="shared" si="1"/>
        <v>0</v>
      </c>
      <c r="R34" s="8"/>
      <c r="S34" s="136">
        <f t="shared" si="2"/>
        <v>0</v>
      </c>
      <c r="T34" s="140"/>
      <c r="U34" s="136">
        <f t="shared" si="3"/>
        <v>0</v>
      </c>
    </row>
    <row r="35" spans="1:25" ht="17.45" customHeight="1" thickTop="1" thickBot="1">
      <c r="A35" s="132">
        <v>25</v>
      </c>
      <c r="B35" s="141" t="s">
        <v>385</v>
      </c>
      <c r="C35" s="26"/>
      <c r="D35" s="134"/>
      <c r="E35" s="8"/>
      <c r="F35" s="1589" t="s">
        <v>2725</v>
      </c>
      <c r="G35" s="144"/>
      <c r="H35" s="1589" t="s">
        <v>2725</v>
      </c>
      <c r="I35" s="8"/>
      <c r="N35" s="132">
        <v>25</v>
      </c>
      <c r="O35" s="141" t="s">
        <v>385</v>
      </c>
      <c r="P35" s="26"/>
      <c r="Q35" s="136">
        <f t="shared" si="1"/>
        <v>0</v>
      </c>
      <c r="R35" s="8"/>
      <c r="S35" s="135" t="s">
        <v>153</v>
      </c>
      <c r="T35" s="144"/>
      <c r="U35" s="135" t="s">
        <v>153</v>
      </c>
      <c r="V35" s="40"/>
      <c r="W35" s="41"/>
      <c r="X35" s="40"/>
      <c r="Y35" s="40"/>
    </row>
    <row r="36" spans="1:25" ht="17.45" customHeight="1" thickTop="1" thickBot="1">
      <c r="A36" s="132">
        <v>26</v>
      </c>
      <c r="B36" s="133" t="s">
        <v>386</v>
      </c>
      <c r="C36" s="26"/>
      <c r="D36" s="134"/>
      <c r="E36" s="8"/>
      <c r="F36" s="134"/>
      <c r="G36" s="140"/>
      <c r="H36" s="134"/>
      <c r="J36" s="1717" t="s">
        <v>580</v>
      </c>
      <c r="K36" s="1718"/>
      <c r="N36" s="132">
        <v>26</v>
      </c>
      <c r="O36" s="133" t="s">
        <v>386</v>
      </c>
      <c r="P36" s="26"/>
      <c r="Q36" s="136">
        <f t="shared" si="1"/>
        <v>0</v>
      </c>
      <c r="R36" s="8"/>
      <c r="S36" s="136">
        <f t="shared" ref="S36:S37" si="4">IF(F36="",0,(F36))</f>
        <v>0</v>
      </c>
      <c r="T36" s="140"/>
      <c r="U36" s="136">
        <f t="shared" ref="U36:U37" si="5">IF(H36="",0,(H36))</f>
        <v>0</v>
      </c>
    </row>
    <row r="37" spans="1:25" ht="17.45" customHeight="1" thickTop="1" thickBot="1">
      <c r="A37" s="132">
        <v>27</v>
      </c>
      <c r="B37" s="141" t="s">
        <v>387</v>
      </c>
      <c r="C37" s="26"/>
      <c r="D37" s="134"/>
      <c r="E37" s="8"/>
      <c r="F37" s="134"/>
      <c r="G37" s="140"/>
      <c r="H37" s="134"/>
      <c r="J37" s="1719" t="s">
        <v>1623</v>
      </c>
      <c r="K37" s="1721" t="s">
        <v>1622</v>
      </c>
      <c r="N37" s="132">
        <v>27</v>
      </c>
      <c r="O37" s="141" t="s">
        <v>387</v>
      </c>
      <c r="P37" s="26"/>
      <c r="Q37" s="136">
        <f t="shared" si="1"/>
        <v>0</v>
      </c>
      <c r="R37" s="8"/>
      <c r="S37" s="136">
        <f t="shared" si="4"/>
        <v>0</v>
      </c>
      <c r="T37" s="140"/>
      <c r="U37" s="136">
        <f t="shared" si="5"/>
        <v>0</v>
      </c>
    </row>
    <row r="38" spans="1:25" ht="17.45" customHeight="1" thickTop="1" thickBot="1">
      <c r="A38" s="132">
        <v>28</v>
      </c>
      <c r="B38" s="133" t="s">
        <v>2133</v>
      </c>
      <c r="C38" s="26"/>
      <c r="D38" s="1047"/>
      <c r="E38" s="8"/>
      <c r="F38" s="1589" t="s">
        <v>2725</v>
      </c>
      <c r="G38" s="113"/>
      <c r="H38" s="1589" t="s">
        <v>2725</v>
      </c>
      <c r="J38" s="1720"/>
      <c r="K38" s="1722"/>
      <c r="N38" s="132">
        <v>28</v>
      </c>
      <c r="O38" s="133" t="s">
        <v>388</v>
      </c>
      <c r="P38" s="26"/>
      <c r="Q38" s="136">
        <f t="shared" si="1"/>
        <v>0</v>
      </c>
      <c r="R38" s="8"/>
      <c r="S38" s="135" t="s">
        <v>153</v>
      </c>
      <c r="T38" s="113"/>
      <c r="U38" s="135" t="s">
        <v>153</v>
      </c>
    </row>
    <row r="39" spans="1:25" ht="17.45" customHeight="1" thickTop="1" thickBot="1">
      <c r="A39" s="132">
        <v>29</v>
      </c>
      <c r="B39" s="133" t="s">
        <v>2108</v>
      </c>
      <c r="C39" s="26"/>
      <c r="D39" s="134"/>
      <c r="E39" s="8"/>
      <c r="F39" s="134"/>
      <c r="G39" s="140"/>
      <c r="H39" s="145"/>
      <c r="J39" s="1147">
        <f>IF((AND(K30="NO",K34="NO")),K49,IF((AND(K30="NO",K34="YES")),K51,IF((AND(K30="YES",K34="NO")),K52,IF((AND(K30="YES",K34="YES")),K54,0))))</f>
        <v>0</v>
      </c>
      <c r="K39" s="1148">
        <f>TRUNC((+H42-H39-'FORM 1040-4'!H21-'PROP COST ANALYSIS - FUND USE'!D46)*0.1-'FORM 1040-4'!H21)</f>
        <v>0</v>
      </c>
      <c r="N39" s="132">
        <v>29</v>
      </c>
      <c r="O39" s="133" t="s">
        <v>390</v>
      </c>
      <c r="P39" s="26"/>
      <c r="Q39" s="136">
        <f t="shared" si="1"/>
        <v>0</v>
      </c>
      <c r="R39" s="8"/>
      <c r="S39" s="136">
        <f>IF(F39="",0,(F39))</f>
        <v>0</v>
      </c>
      <c r="T39" s="140"/>
      <c r="U39" s="146">
        <f>IF(H39="",0,(H39))</f>
        <v>0</v>
      </c>
    </row>
    <row r="40" spans="1:25" ht="17.45" customHeight="1" thickTop="1" thickBot="1">
      <c r="A40" s="132">
        <v>30</v>
      </c>
      <c r="B40" s="133" t="s">
        <v>392</v>
      </c>
      <c r="C40" s="26"/>
      <c r="D40" s="134"/>
      <c r="E40" s="8"/>
      <c r="F40" s="1589" t="s">
        <v>2725</v>
      </c>
      <c r="G40" s="113"/>
      <c r="H40" s="1589" t="s">
        <v>2725</v>
      </c>
      <c r="K40" s="669"/>
      <c r="N40" s="132">
        <v>30</v>
      </c>
      <c r="O40" s="133" t="s">
        <v>392</v>
      </c>
      <c r="P40" s="26"/>
      <c r="Q40" s="136">
        <f t="shared" si="1"/>
        <v>0</v>
      </c>
      <c r="R40" s="8"/>
      <c r="S40" s="135" t="s">
        <v>153</v>
      </c>
      <c r="T40" s="113"/>
      <c r="U40" s="135" t="s">
        <v>153</v>
      </c>
      <c r="W40" s="147"/>
    </row>
    <row r="41" spans="1:25" ht="17.45" customHeight="1" thickTop="1" thickBot="1">
      <c r="A41" s="132">
        <v>31</v>
      </c>
      <c r="B41" s="148" t="s">
        <v>2447</v>
      </c>
      <c r="C41" s="26"/>
      <c r="D41" s="149">
        <f>+'FORM 1040-4'!D32</f>
        <v>0</v>
      </c>
      <c r="E41" s="8"/>
      <c r="F41" s="149">
        <f>+'FORM 1040-4'!F32</f>
        <v>0</v>
      </c>
      <c r="G41" s="140"/>
      <c r="H41" s="149">
        <f>+'FORM 1040-4'!H32</f>
        <v>0</v>
      </c>
      <c r="K41" s="668"/>
      <c r="N41" s="132">
        <v>31</v>
      </c>
      <c r="O41" s="148" t="s">
        <v>579</v>
      </c>
      <c r="P41" s="26"/>
      <c r="Q41" s="136">
        <f t="shared" ref="Q41" si="6">IF(D41="","",(D41))</f>
        <v>0</v>
      </c>
      <c r="R41" s="8"/>
      <c r="S41" s="136">
        <f>IF(F41="","",(F41))</f>
        <v>0</v>
      </c>
      <c r="T41" s="140"/>
      <c r="U41" s="136">
        <f>IF(H41="","",(H41))</f>
        <v>0</v>
      </c>
      <c r="W41" s="147"/>
    </row>
    <row r="42" spans="1:25" ht="21.95" customHeight="1" thickTop="1" thickBot="1">
      <c r="A42" s="132">
        <v>32</v>
      </c>
      <c r="B42" s="133" t="s">
        <v>578</v>
      </c>
      <c r="C42" s="150"/>
      <c r="D42" s="151">
        <f>SUM(D11:D41)</f>
        <v>0</v>
      </c>
      <c r="E42" s="152" t="s">
        <v>393</v>
      </c>
      <c r="F42" s="151">
        <f>SUM(F11:F41)</f>
        <v>0</v>
      </c>
      <c r="G42" s="150"/>
      <c r="H42" s="151">
        <f>SUM(H11:H41)</f>
        <v>0</v>
      </c>
      <c r="N42" s="132">
        <v>32</v>
      </c>
      <c r="O42" s="133" t="s">
        <v>578</v>
      </c>
      <c r="P42" s="150"/>
      <c r="Q42" s="151"/>
      <c r="R42" s="152" t="s">
        <v>393</v>
      </c>
      <c r="S42" s="151"/>
      <c r="T42" s="150"/>
      <c r="U42" s="151"/>
    </row>
    <row r="43" spans="1:25" ht="8.1" customHeight="1" thickTop="1">
      <c r="A43" s="40"/>
      <c r="B43" s="40"/>
      <c r="C43" s="40"/>
      <c r="D43" s="40"/>
      <c r="E43" s="40"/>
      <c r="F43" s="40"/>
      <c r="G43" s="40"/>
      <c r="H43" s="40"/>
      <c r="I43" s="40"/>
      <c r="J43" s="579"/>
      <c r="K43" s="579"/>
      <c r="N43" s="40"/>
      <c r="O43" s="40"/>
      <c r="P43" s="40"/>
      <c r="Q43" s="40"/>
      <c r="R43" s="40"/>
      <c r="S43" s="40"/>
      <c r="T43" s="40"/>
      <c r="U43" s="40"/>
      <c r="V43" s="40"/>
      <c r="W43" s="41"/>
      <c r="X43" s="40"/>
      <c r="Y43" s="40"/>
    </row>
    <row r="44" spans="1:25" ht="27" customHeight="1">
      <c r="A44" s="173" t="s">
        <v>101</v>
      </c>
      <c r="B44" s="1656" t="s">
        <v>1640</v>
      </c>
      <c r="C44" s="1656"/>
      <c r="D44" s="1656"/>
      <c r="E44" s="1656"/>
      <c r="F44" s="1656"/>
      <c r="G44" s="1656"/>
      <c r="H44" s="1656"/>
      <c r="I44" s="40"/>
      <c r="J44" s="579"/>
      <c r="K44" s="579"/>
      <c r="N44" s="40"/>
      <c r="T44" s="659"/>
      <c r="U44" s="659"/>
      <c r="V44" s="40"/>
      <c r="W44" s="41"/>
      <c r="X44" s="40"/>
      <c r="Y44" s="40"/>
    </row>
    <row r="45" spans="1:25" ht="6" customHeight="1">
      <c r="A45" s="40"/>
      <c r="B45" s="153"/>
      <c r="C45" s="154"/>
      <c r="D45" s="154"/>
      <c r="E45" s="154"/>
      <c r="F45" s="154"/>
      <c r="G45" s="154"/>
      <c r="H45" s="154"/>
      <c r="I45" s="40"/>
      <c r="J45" s="643"/>
      <c r="K45" s="643"/>
      <c r="N45" s="40"/>
      <c r="T45" s="659"/>
      <c r="U45" s="659"/>
      <c r="V45" s="40"/>
      <c r="W45" s="41"/>
      <c r="X45" s="40"/>
      <c r="Y45" s="40"/>
    </row>
    <row r="46" spans="1:25" s="1008" customFormat="1" ht="15" customHeight="1">
      <c r="A46" s="125" t="s">
        <v>394</v>
      </c>
      <c r="B46" s="1656" t="s">
        <v>395</v>
      </c>
      <c r="C46" s="1656"/>
      <c r="D46" s="1656"/>
      <c r="E46" s="1656"/>
      <c r="F46" s="1656"/>
      <c r="G46" s="1656"/>
      <c r="H46" s="1656"/>
      <c r="M46" s="490"/>
      <c r="T46" s="659"/>
      <c r="W46" s="490"/>
    </row>
    <row r="47" spans="1:25" ht="6" customHeight="1">
      <c r="A47" s="40"/>
      <c r="B47" s="155"/>
      <c r="C47" s="155"/>
      <c r="D47" s="156"/>
      <c r="E47" s="156"/>
      <c r="F47" s="153"/>
      <c r="G47" s="153"/>
      <c r="H47" s="155"/>
      <c r="I47" s="40"/>
      <c r="N47" s="40"/>
      <c r="T47" s="153"/>
      <c r="U47" s="40"/>
      <c r="V47" s="40"/>
      <c r="W47" s="41"/>
      <c r="X47" s="40"/>
      <c r="Y47" s="40"/>
    </row>
    <row r="48" spans="1:25" ht="26.1" customHeight="1" thickBot="1">
      <c r="A48" s="173" t="s">
        <v>393</v>
      </c>
      <c r="B48" s="1716" t="s">
        <v>2221</v>
      </c>
      <c r="C48" s="1716"/>
      <c r="D48" s="1716"/>
      <c r="E48" s="1716"/>
      <c r="F48" s="1716"/>
      <c r="G48" s="1716"/>
      <c r="H48" s="1716"/>
      <c r="I48" s="40"/>
      <c r="N48" s="40"/>
      <c r="O48" s="153"/>
      <c r="P48" s="154"/>
      <c r="Q48" s="659" t="s">
        <v>1636</v>
      </c>
      <c r="R48" s="659"/>
      <c r="S48" s="659" t="s">
        <v>1636</v>
      </c>
      <c r="T48" s="153"/>
      <c r="U48" s="659" t="s">
        <v>1636</v>
      </c>
      <c r="V48" s="40"/>
      <c r="W48" s="41"/>
      <c r="X48" s="40"/>
      <c r="Y48" s="40"/>
    </row>
    <row r="49" spans="1:25" ht="18" customHeight="1">
      <c r="J49" s="648">
        <v>0.18</v>
      </c>
      <c r="K49" s="1149">
        <f>TRUNC((+F42-F39-'FORM 1040-4'!F21-'PROP COST ANALYSIS - FUND USE'!D45)*0.18-'FORM 1040-4'!F21)</f>
        <v>0</v>
      </c>
      <c r="O49" s="153"/>
      <c r="P49" s="154"/>
      <c r="Q49" s="660">
        <f>SUM(Q25:Q41)-'FORM 1040-4'!D22</f>
        <v>0</v>
      </c>
      <c r="R49" s="659"/>
      <c r="S49" s="660">
        <f>SUM(S25:S41)-'FORM 1040-4'!F22</f>
        <v>0</v>
      </c>
      <c r="U49" s="660">
        <f>SUM(U25:U41)-'FORM 1040-4'!H22</f>
        <v>0</v>
      </c>
    </row>
    <row r="50" spans="1:25" ht="18" customHeight="1">
      <c r="J50" s="650">
        <v>0.22</v>
      </c>
      <c r="K50" s="1150">
        <f>TRUNC(((+F42-F39-'FORM 1040-4'!F21-'PROP COST ANALYSIS - FUND USE'!D45)*0.22)-F22-'FORM 1040-4'!F21)</f>
        <v>0</v>
      </c>
      <c r="O50" s="1106" t="s">
        <v>2160</v>
      </c>
      <c r="P50" s="155"/>
      <c r="Q50" s="658">
        <f>TRUNC(+Q49*0.05)</f>
        <v>0</v>
      </c>
      <c r="R50" s="659"/>
      <c r="S50" s="658">
        <f>TRUNC(+S49*0.05)</f>
        <v>0</v>
      </c>
      <c r="U50" s="658">
        <f>TRUNC(+U49*0.05)</f>
        <v>0</v>
      </c>
    </row>
    <row r="51" spans="1:25" ht="18" customHeight="1">
      <c r="B51" s="580"/>
      <c r="C51" s="580"/>
      <c r="D51" s="580"/>
      <c r="E51" s="580"/>
      <c r="F51" s="580"/>
      <c r="G51" s="580"/>
      <c r="H51" s="580"/>
      <c r="I51" s="580"/>
      <c r="J51" s="652" t="s">
        <v>1624</v>
      </c>
      <c r="K51" s="1151">
        <f>MIN(K49:K50)</f>
        <v>0</v>
      </c>
      <c r="O51" s="155"/>
      <c r="P51" s="155"/>
      <c r="Q51" s="156"/>
      <c r="R51" s="156"/>
      <c r="S51" s="156"/>
      <c r="T51" s="580"/>
      <c r="U51" s="580"/>
      <c r="V51" s="580"/>
      <c r="X51" s="580"/>
      <c r="Y51" s="580"/>
    </row>
    <row r="52" spans="1:25" ht="18" customHeight="1">
      <c r="J52" s="654">
        <v>0.15</v>
      </c>
      <c r="K52" s="1152">
        <f>TRUNC((+F42-F39-'FORM 1040-4'!F21-'PROP COST ANALYSIS - FUND USE'!D45)*0.15-'FORM 1040-4'!F21)</f>
        <v>0</v>
      </c>
      <c r="O52" s="155"/>
      <c r="P52" s="155"/>
      <c r="Q52" s="659" t="s">
        <v>1637</v>
      </c>
      <c r="R52" s="156"/>
      <c r="S52" s="659" t="s">
        <v>1637</v>
      </c>
    </row>
    <row r="53" spans="1:25" ht="18" customHeight="1">
      <c r="J53" s="650">
        <v>0.18</v>
      </c>
      <c r="K53" s="1150">
        <f>TRUNC(((+F42-F39-'FORM 1040-4'!F21-'PROP COST ANALYSIS - FUND USE'!D45)*0.18)-F22-'FORM 1040-4'!F21)</f>
        <v>0</v>
      </c>
      <c r="Q53" s="660">
        <f>+Q13+Q15+Q17+Q18+Q19+Q20+Q21+Q22+Q23+Q24</f>
        <v>0</v>
      </c>
      <c r="R53" s="660"/>
      <c r="S53" s="660">
        <f>+S15+S17+S18+S20+S21+S22+S23+S24</f>
        <v>0</v>
      </c>
    </row>
    <row r="54" spans="1:25" ht="18" customHeight="1" thickBot="1">
      <c r="J54" s="1128" t="s">
        <v>1624</v>
      </c>
      <c r="K54" s="1153">
        <f>MIN(K52:K53)</f>
        <v>0</v>
      </c>
      <c r="O54" s="663" t="s">
        <v>1638</v>
      </c>
      <c r="Q54" s="661">
        <f>TRUNC(+Q53*0.07)</f>
        <v>0</v>
      </c>
      <c r="S54" s="661">
        <f>TRUNC(+S53*0.07)</f>
        <v>0</v>
      </c>
    </row>
    <row r="55" spans="1:25">
      <c r="O55" s="663" t="s">
        <v>1639</v>
      </c>
      <c r="P55" s="580"/>
      <c r="Q55" s="662">
        <f>TRUNC(+Q53*0.1)</f>
        <v>0</v>
      </c>
      <c r="R55" s="580"/>
      <c r="S55" s="662">
        <f>TRUNC(+S53*0.1)</f>
        <v>0</v>
      </c>
    </row>
    <row r="61" spans="1:25" s="4" customFormat="1">
      <c r="A61" s="126"/>
      <c r="M61" s="6"/>
      <c r="N61" s="126"/>
      <c r="W61" s="6"/>
    </row>
    <row r="62" spans="1:25" s="4" customFormat="1">
      <c r="A62" s="126"/>
      <c r="M62" s="6"/>
      <c r="N62" s="126"/>
      <c r="W62" s="6"/>
    </row>
    <row r="63" spans="1:25" s="4" customFormat="1">
      <c r="A63" s="126"/>
      <c r="M63" s="6"/>
      <c r="N63" s="126"/>
      <c r="W63" s="6"/>
    </row>
    <row r="64" spans="1:25" s="4" customFormat="1">
      <c r="A64" s="126"/>
      <c r="M64" s="6"/>
      <c r="N64" s="126"/>
      <c r="W64" s="6"/>
    </row>
    <row r="65" spans="1:23" s="4" customFormat="1">
      <c r="A65" s="126"/>
      <c r="M65" s="6"/>
      <c r="N65" s="126"/>
      <c r="W65" s="6"/>
    </row>
    <row r="66" spans="1:23" s="4" customFormat="1">
      <c r="A66" s="126"/>
      <c r="M66" s="6"/>
      <c r="N66" s="126"/>
      <c r="W66" s="6"/>
    </row>
    <row r="67" spans="1:23" s="4" customFormat="1">
      <c r="A67" s="126"/>
      <c r="M67" s="6"/>
      <c r="N67" s="126"/>
      <c r="W67" s="6"/>
    </row>
    <row r="68" spans="1:23" s="4" customFormat="1">
      <c r="A68" s="126"/>
      <c r="M68" s="6"/>
      <c r="N68" s="126"/>
      <c r="W68" s="6"/>
    </row>
    <row r="69" spans="1:23" s="4" customFormat="1">
      <c r="A69" s="126"/>
      <c r="M69" s="6"/>
      <c r="N69" s="126"/>
      <c r="W69" s="6"/>
    </row>
    <row r="70" spans="1:23" s="4" customFormat="1">
      <c r="A70" s="126"/>
      <c r="M70" s="6"/>
      <c r="N70" s="126"/>
      <c r="W70" s="6"/>
    </row>
  </sheetData>
  <sheetProtection algorithmName="SHA-512" hashValue="SOl4IpEhdUdRQTIAj+d+v+4YDU4TyLVN+sBu+nE/hcuu5tyR7Gh/h4E5A+QADHxG6HSP47DaZWEnJe2RuuTtxg==" saltValue="geUmWMVyBgVcv9Bczofs8Q==" spinCount="100000" sheet="1" objects="1" scenarios="1"/>
  <mergeCells count="17">
    <mergeCell ref="B48:H48"/>
    <mergeCell ref="J19:K19"/>
    <mergeCell ref="B44:H44"/>
    <mergeCell ref="J37:J38"/>
    <mergeCell ref="K37:K38"/>
    <mergeCell ref="J36:K36"/>
    <mergeCell ref="J24:K26"/>
    <mergeCell ref="J31:K33"/>
    <mergeCell ref="J27:K29"/>
    <mergeCell ref="J16:J17"/>
    <mergeCell ref="K14:K15"/>
    <mergeCell ref="K16:K17"/>
    <mergeCell ref="B46:H46"/>
    <mergeCell ref="J2:K4"/>
    <mergeCell ref="J11:K11"/>
    <mergeCell ref="J8:K10"/>
    <mergeCell ref="J14:J15"/>
  </mergeCells>
  <dataValidations count="8">
    <dataValidation type="decimal" errorStyle="warning" operator="lessThanOrEqual" allowBlank="1" showInputMessage="1" showErrorMessage="1" error="The Builder's General Requirment is in excess of the 6% limit." sqref="F20" xr:uid="{00000000-0002-0000-0700-000000000000}">
      <formula1>K20</formula1>
    </dataValidation>
    <dataValidation type="decimal" errorStyle="warning" operator="lessThanOrEqual" allowBlank="1" showInputMessage="1" showErrorMessage="1" error="The Builder's General Overhead is in excess of the 2% limit." sqref="F21" xr:uid="{00000000-0002-0000-0700-000001000000}">
      <formula1>K21</formula1>
    </dataValidation>
    <dataValidation type="decimal" errorStyle="warning" operator="lessThanOrEqual" allowBlank="1" showInputMessage="1" showErrorMessage="1" error="The Builder's Profit is in excess of the 6% limit." sqref="F22" xr:uid="{00000000-0002-0000-0700-000002000000}">
      <formula1>K22</formula1>
    </dataValidation>
    <dataValidation type="list" allowBlank="1" showInputMessage="1" showErrorMessage="1" sqref="K34 K30 K12" xr:uid="{00000000-0002-0000-0700-000003000000}">
      <formula1>$V$3:$V$4</formula1>
    </dataValidation>
    <dataValidation type="decimal" operator="lessThanOrEqual" allowBlank="1" showInputMessage="1" showErrorMessage="1" error="The Hard Cost Contingency is in excess of the maximum contingency allowed." sqref="D14" xr:uid="{00000000-0002-0000-0700-000004000000}">
      <formula1>K14</formula1>
    </dataValidation>
    <dataValidation type="decimal" operator="lessThanOrEqual" allowBlank="1" showInputMessage="1" showErrorMessage="1" error="The New Construction/Substantial Rehabilitation Developer's Fee is in excess of the limit." sqref="F39" xr:uid="{00000000-0002-0000-0700-000005000000}">
      <formula1>J39</formula1>
    </dataValidation>
    <dataValidation type="decimal" operator="lessThanOrEqual" allowBlank="1" showInputMessage="1" showErrorMessage="1" error="The Acquisition Developer's Fee is in excess of the limit." sqref="H39" xr:uid="{00000000-0002-0000-0700-000006000000}">
      <formula1>K39</formula1>
    </dataValidation>
    <dataValidation type="decimal" operator="lessThanOrEqual" allowBlank="1" showInputMessage="1" showErrorMessage="1" error="The Hard Cost Contingency is in excess of the maximum contingency allowed." sqref="F14" xr:uid="{00000000-0002-0000-0700-000007000000}">
      <formula1>K16</formula1>
    </dataValidation>
  </dataValidations>
  <pageMargins left="0.75" right="0.5" top="0.5" bottom="0.75" header="0" footer="0.5"/>
  <pageSetup scale="90" orientation="portrait" verticalDpi="4294967292" r:id="rId1"/>
  <headerFooter alignWithMargins="0">
    <oddFooter>&amp;C&amp;A&amp;R&amp;D &amp;T</oddFooter>
  </headerFooter>
  <rowBreaks count="1" manualBreakCount="1">
    <brk id="67" max="65535" man="1"/>
  </rowBreaks>
  <ignoredErrors>
    <ignoredError sqref="K20:K22" formulaRange="1"/>
  </ignoredError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G58"/>
  <sheetViews>
    <sheetView workbookViewId="0"/>
  </sheetViews>
  <sheetFormatPr defaultColWidth="11.42578125" defaultRowHeight="12.75"/>
  <cols>
    <col min="1" max="1" width="4.7109375" style="126" customWidth="1"/>
    <col min="2" max="2" width="45.42578125" style="4" customWidth="1"/>
    <col min="3" max="3" width="2.28515625" style="4" customWidth="1"/>
    <col min="4" max="4" width="15.7109375" style="4" customWidth="1"/>
    <col min="5" max="5" width="2.28515625" style="4" customWidth="1"/>
    <col min="6" max="6" width="15.7109375" style="4" customWidth="1"/>
    <col min="7" max="7" width="2.28515625" style="4" customWidth="1"/>
    <col min="8" max="8" width="15.7109375" style="4" customWidth="1"/>
    <col min="9" max="9" width="2.28515625" style="40" customWidth="1"/>
    <col min="10" max="10" width="22.7109375" style="40" customWidth="1"/>
    <col min="11" max="11" width="15.7109375" style="40" customWidth="1"/>
    <col min="12" max="12" width="11.42578125" style="40" customWidth="1"/>
    <col min="13" max="13" width="5.7109375" style="41" customWidth="1"/>
    <col min="14" max="14" width="4.7109375" style="126" hidden="1" customWidth="1"/>
    <col min="15" max="15" width="45.42578125" style="4" hidden="1" customWidth="1"/>
    <col min="16" max="16" width="2.28515625" style="4" hidden="1" customWidth="1"/>
    <col min="17" max="17" width="13.7109375" style="4" hidden="1" customWidth="1"/>
    <col min="18" max="18" width="2.28515625" style="4" hidden="1" customWidth="1"/>
    <col min="19" max="19" width="15.7109375" style="4" hidden="1" customWidth="1"/>
    <col min="20" max="20" width="2.28515625" style="4" hidden="1" customWidth="1"/>
    <col min="21" max="21" width="15.7109375" style="4" hidden="1" customWidth="1"/>
    <col min="22" max="22" width="5.7109375" style="41" customWidth="1"/>
    <col min="23" max="24" width="5.7109375" style="4" customWidth="1"/>
    <col min="25" max="28" width="10.7109375" style="4" customWidth="1"/>
    <col min="29" max="29" width="17" style="4" customWidth="1"/>
    <col min="30" max="33" width="10.7109375" style="4" customWidth="1"/>
    <col min="34" max="16384" width="11.42578125" style="40"/>
  </cols>
  <sheetData>
    <row r="1" spans="1:33">
      <c r="A1" s="1302" t="str">
        <f>IF('FORM 1040-1'!D15="","",'FORM 1040-1'!D15)</f>
        <v/>
      </c>
      <c r="B1" s="1303"/>
      <c r="C1" s="1303"/>
      <c r="D1" s="1303"/>
      <c r="E1" s="1303"/>
      <c r="F1" s="1303"/>
      <c r="G1" s="1303"/>
      <c r="H1" s="1294" t="str">
        <f>IF('FORM 1040-1'!$E$12="","",'FORM 1040-1'!$E$12)</f>
        <v/>
      </c>
      <c r="I1" s="1041"/>
      <c r="J1" s="1041"/>
      <c r="K1" s="1041"/>
      <c r="O1" s="814"/>
      <c r="P1" s="814"/>
      <c r="Q1" s="814"/>
      <c r="R1" s="814"/>
      <c r="S1" s="814"/>
      <c r="T1" s="814"/>
      <c r="U1" s="22" t="b">
        <v>1</v>
      </c>
      <c r="W1" s="814"/>
      <c r="X1" s="814"/>
      <c r="Y1" s="814"/>
      <c r="Z1" s="814"/>
      <c r="AA1" s="814"/>
      <c r="AB1" s="814"/>
      <c r="AC1" s="814"/>
      <c r="AD1" s="814"/>
      <c r="AE1" s="814"/>
      <c r="AF1" s="814"/>
      <c r="AG1" s="814"/>
    </row>
    <row r="2" spans="1:33">
      <c r="B2" s="814"/>
      <c r="C2" s="814"/>
      <c r="D2" s="814"/>
      <c r="E2" s="814"/>
      <c r="F2" s="814"/>
      <c r="G2" s="814"/>
      <c r="H2" s="814"/>
      <c r="I2" s="1041"/>
      <c r="J2" s="1041"/>
      <c r="K2" s="1041"/>
      <c r="O2" s="814"/>
      <c r="P2" s="814"/>
      <c r="Q2" s="814"/>
      <c r="R2" s="814"/>
      <c r="S2" s="814"/>
      <c r="T2" s="814"/>
      <c r="U2" s="22" t="b">
        <v>0</v>
      </c>
      <c r="W2" s="814"/>
      <c r="X2" s="814"/>
      <c r="Y2" s="814"/>
      <c r="Z2" s="814"/>
      <c r="AA2" s="814"/>
      <c r="AB2" s="814"/>
      <c r="AC2" s="814"/>
      <c r="AD2" s="814"/>
      <c r="AE2" s="814"/>
      <c r="AF2" s="814"/>
      <c r="AG2" s="814"/>
    </row>
    <row r="3" spans="1:33" ht="12.75" customHeight="1">
      <c r="A3" s="125" t="s">
        <v>58</v>
      </c>
      <c r="B3" s="4" t="s">
        <v>784</v>
      </c>
      <c r="C3" s="26"/>
      <c r="D3" s="140"/>
      <c r="E3" s="8"/>
      <c r="F3" s="140"/>
      <c r="G3" s="140"/>
      <c r="H3" s="140"/>
      <c r="J3" s="1710" t="s">
        <v>1621</v>
      </c>
      <c r="K3" s="1710"/>
      <c r="N3" s="125" t="s">
        <v>58</v>
      </c>
      <c r="O3" s="4" t="s">
        <v>784</v>
      </c>
      <c r="P3" s="26"/>
      <c r="Q3" s="140"/>
      <c r="R3" s="8"/>
      <c r="S3" s="140"/>
      <c r="T3" s="140"/>
      <c r="U3" s="140"/>
      <c r="W3" s="40"/>
      <c r="X3" s="40"/>
      <c r="Y3" s="40"/>
      <c r="Z3" s="40"/>
      <c r="AA3" s="40"/>
      <c r="AB3" s="40"/>
      <c r="AC3" s="40"/>
      <c r="AD3" s="40"/>
      <c r="AE3" s="40"/>
      <c r="AF3" s="40"/>
      <c r="AG3" s="40"/>
    </row>
    <row r="4" spans="1:33" ht="12.95" customHeight="1">
      <c r="A4" s="125"/>
      <c r="C4" s="26"/>
      <c r="D4" s="140"/>
      <c r="E4" s="8"/>
      <c r="F4" s="140"/>
      <c r="G4" s="140"/>
      <c r="H4" s="140"/>
      <c r="I4" s="1059"/>
      <c r="J4" s="1710"/>
      <c r="K4" s="1710"/>
      <c r="N4" s="125"/>
      <c r="P4" s="26"/>
      <c r="Q4" s="140"/>
      <c r="R4" s="8"/>
      <c r="S4" s="140"/>
      <c r="T4" s="140"/>
      <c r="U4" s="140"/>
      <c r="W4" s="40"/>
      <c r="X4" s="40"/>
      <c r="Y4" s="40"/>
      <c r="Z4" s="40"/>
      <c r="AA4" s="40"/>
      <c r="AB4" s="40"/>
      <c r="AC4" s="40"/>
      <c r="AD4" s="40"/>
      <c r="AE4" s="40"/>
      <c r="AF4" s="40"/>
      <c r="AG4" s="40"/>
    </row>
    <row r="5" spans="1:33" ht="12.95" customHeight="1">
      <c r="F5" s="5" t="s">
        <v>352</v>
      </c>
      <c r="G5" s="5"/>
      <c r="H5" s="5"/>
      <c r="I5" s="1059"/>
      <c r="J5" s="1710"/>
      <c r="K5" s="1710"/>
      <c r="S5" s="5" t="s">
        <v>352</v>
      </c>
      <c r="T5" s="5"/>
      <c r="U5" s="5"/>
      <c r="W5" s="40"/>
      <c r="X5" s="40"/>
      <c r="Y5" s="40"/>
      <c r="Z5" s="40"/>
      <c r="AA5" s="40"/>
      <c r="AB5" s="40"/>
      <c r="AC5" s="40"/>
      <c r="AD5" s="40"/>
      <c r="AE5" s="40"/>
      <c r="AF5" s="40"/>
      <c r="AG5" s="40"/>
    </row>
    <row r="6" spans="1:33" ht="12.95" customHeight="1" thickBot="1">
      <c r="B6" s="4" t="s">
        <v>41</v>
      </c>
      <c r="F6" s="5" t="s">
        <v>353</v>
      </c>
      <c r="G6" s="5"/>
      <c r="H6" s="5"/>
      <c r="O6" s="4" t="s">
        <v>41</v>
      </c>
      <c r="S6" s="5" t="s">
        <v>353</v>
      </c>
      <c r="T6" s="5"/>
      <c r="U6" s="5"/>
      <c r="W6" s="40"/>
      <c r="X6" s="40"/>
      <c r="Y6" s="40"/>
      <c r="Z6" s="40"/>
      <c r="AA6" s="40"/>
      <c r="AB6" s="40"/>
      <c r="AC6" s="40"/>
      <c r="AD6" s="40"/>
      <c r="AE6" s="40"/>
      <c r="AF6" s="40"/>
      <c r="AG6" s="40"/>
    </row>
    <row r="7" spans="1:33" ht="14.1" customHeight="1" thickTop="1">
      <c r="B7" s="127"/>
      <c r="C7" s="26"/>
      <c r="D7" s="46" t="str">
        <f>"(1) *"</f>
        <v>(1) *</v>
      </c>
      <c r="E7" s="8"/>
      <c r="F7" s="109" t="str">
        <f>"(A) * "</f>
        <v xml:space="preserve">(A) * </v>
      </c>
      <c r="G7" s="128"/>
      <c r="H7" s="109" t="str">
        <f>"(B) * "</f>
        <v xml:space="preserve">(B) * </v>
      </c>
      <c r="O7" s="127"/>
      <c r="P7" s="26"/>
      <c r="Q7" s="46" t="str">
        <f>"(1) *"</f>
        <v>(1) *</v>
      </c>
      <c r="R7" s="8"/>
      <c r="S7" s="109" t="str">
        <f>"(A) * "</f>
        <v xml:space="preserve">(A) * </v>
      </c>
      <c r="T7" s="128"/>
      <c r="U7" s="109" t="str">
        <f>"(B) * "</f>
        <v xml:space="preserve">(B) * </v>
      </c>
      <c r="W7" s="40"/>
      <c r="X7" s="40"/>
      <c r="Y7" s="40"/>
      <c r="Z7" s="40"/>
      <c r="AA7" s="40"/>
      <c r="AB7" s="40"/>
      <c r="AC7" s="40"/>
      <c r="AD7" s="40"/>
      <c r="AE7" s="40"/>
      <c r="AF7" s="40"/>
      <c r="AG7" s="40"/>
    </row>
    <row r="8" spans="1:33" ht="14.1" customHeight="1">
      <c r="A8" s="129"/>
      <c r="B8" s="130"/>
      <c r="C8" s="8"/>
      <c r="D8" s="110" t="s">
        <v>100</v>
      </c>
      <c r="E8" s="8"/>
      <c r="F8" s="110" t="s">
        <v>354</v>
      </c>
      <c r="G8" s="131"/>
      <c r="H8" s="130"/>
      <c r="N8" s="129"/>
      <c r="O8" s="130"/>
      <c r="P8" s="8"/>
      <c r="Q8" s="110" t="s">
        <v>100</v>
      </c>
      <c r="R8" s="8"/>
      <c r="S8" s="110" t="s">
        <v>354</v>
      </c>
      <c r="T8" s="131"/>
      <c r="U8" s="130"/>
      <c r="W8" s="40"/>
      <c r="X8" s="40"/>
      <c r="Y8" s="40"/>
      <c r="Z8" s="40"/>
      <c r="AA8" s="40"/>
      <c r="AB8" s="40"/>
      <c r="AC8" s="40"/>
      <c r="AD8" s="40"/>
      <c r="AE8" s="40"/>
      <c r="AF8" s="40"/>
      <c r="AG8" s="40"/>
    </row>
    <row r="9" spans="1:33" ht="14.1" customHeight="1">
      <c r="B9" s="130"/>
      <c r="C9" s="26"/>
      <c r="D9" s="110" t="s">
        <v>356</v>
      </c>
      <c r="E9" s="8"/>
      <c r="F9" s="110" t="s">
        <v>355</v>
      </c>
      <c r="G9" s="131"/>
      <c r="H9" s="130"/>
      <c r="O9" s="130"/>
      <c r="P9" s="26"/>
      <c r="Q9" s="110" t="s">
        <v>356</v>
      </c>
      <c r="R9" s="8"/>
      <c r="S9" s="110" t="s">
        <v>355</v>
      </c>
      <c r="T9" s="131"/>
      <c r="U9" s="130"/>
      <c r="W9" s="40"/>
      <c r="X9" s="40"/>
      <c r="Y9" s="40"/>
      <c r="Z9" s="40"/>
      <c r="AA9" s="40"/>
      <c r="AB9" s="40"/>
      <c r="AC9" s="40"/>
      <c r="AD9" s="40"/>
      <c r="AE9" s="40"/>
      <c r="AF9" s="40"/>
      <c r="AG9" s="40"/>
    </row>
    <row r="10" spans="1:33" ht="14.1" customHeight="1" thickBot="1">
      <c r="B10" s="51" t="s">
        <v>98</v>
      </c>
      <c r="C10" s="26"/>
      <c r="D10" s="51" t="s">
        <v>563</v>
      </c>
      <c r="E10" s="8"/>
      <c r="F10" s="51" t="s">
        <v>358</v>
      </c>
      <c r="G10" s="131"/>
      <c r="H10" s="1279" t="s">
        <v>359</v>
      </c>
      <c r="O10" s="51" t="s">
        <v>98</v>
      </c>
      <c r="P10" s="26"/>
      <c r="Q10" s="51" t="s">
        <v>563</v>
      </c>
      <c r="R10" s="8"/>
      <c r="S10" s="51" t="s">
        <v>358</v>
      </c>
      <c r="T10" s="131"/>
      <c r="U10" s="51" t="s">
        <v>359</v>
      </c>
      <c r="W10" s="40"/>
      <c r="X10" s="40"/>
      <c r="Y10" s="40"/>
      <c r="Z10" s="40"/>
      <c r="AA10" s="40"/>
      <c r="AB10" s="40"/>
      <c r="AC10" s="40"/>
      <c r="AD10" s="40"/>
      <c r="AE10" s="40"/>
      <c r="AF10" s="40"/>
      <c r="AG10" s="40"/>
    </row>
    <row r="11" spans="1:33" ht="17.100000000000001" customHeight="1" thickTop="1">
      <c r="A11" s="158">
        <v>31</v>
      </c>
      <c r="B11" s="159" t="s">
        <v>575</v>
      </c>
      <c r="C11" s="26"/>
      <c r="D11" s="1504"/>
      <c r="E11" s="107"/>
      <c r="F11" s="1504"/>
      <c r="G11" s="140"/>
      <c r="H11" s="1504"/>
      <c r="N11" s="158">
        <v>31</v>
      </c>
      <c r="O11" s="159" t="s">
        <v>575</v>
      </c>
      <c r="P11" s="26"/>
      <c r="Q11" s="1733">
        <f>IF(D12="",0,(D12))</f>
        <v>0</v>
      </c>
      <c r="R11" s="107"/>
      <c r="S11" s="1733">
        <f>IF(F12="",0,(F12))</f>
        <v>0</v>
      </c>
      <c r="T11" s="140"/>
      <c r="U11" s="1733">
        <f>IF(H12="",0,(H12))</f>
        <v>0</v>
      </c>
      <c r="W11" s="24"/>
      <c r="X11" s="24"/>
      <c r="Y11" s="8"/>
      <c r="Z11" s="8"/>
      <c r="AA11" s="8"/>
      <c r="AB11" s="8"/>
      <c r="AC11" s="8"/>
    </row>
    <row r="12" spans="1:33" ht="17.100000000000001" customHeight="1" thickBot="1">
      <c r="A12" s="132" t="s">
        <v>63</v>
      </c>
      <c r="B12" s="133" t="s">
        <v>373</v>
      </c>
      <c r="C12" s="26"/>
      <c r="D12" s="1502"/>
      <c r="E12" s="160"/>
      <c r="F12" s="1502"/>
      <c r="G12" s="161"/>
      <c r="H12" s="1502"/>
      <c r="N12" s="132" t="s">
        <v>63</v>
      </c>
      <c r="O12" s="162" t="s">
        <v>373</v>
      </c>
      <c r="P12" s="26"/>
      <c r="Q12" s="1734"/>
      <c r="R12" s="160"/>
      <c r="S12" s="1734"/>
      <c r="T12" s="161"/>
      <c r="U12" s="1734"/>
      <c r="W12" s="24"/>
      <c r="X12" s="24"/>
      <c r="Y12" s="8"/>
      <c r="Z12" s="8"/>
      <c r="AA12" s="8"/>
      <c r="AB12" s="8"/>
      <c r="AC12" s="8"/>
    </row>
    <row r="13" spans="1:33" ht="17.100000000000001" customHeight="1" thickTop="1" thickBot="1">
      <c r="A13" s="132" t="s">
        <v>64</v>
      </c>
      <c r="B13" s="141" t="s">
        <v>374</v>
      </c>
      <c r="C13" s="26"/>
      <c r="D13" s="134"/>
      <c r="E13" s="160"/>
      <c r="F13" s="134"/>
      <c r="G13" s="161"/>
      <c r="H13" s="1275"/>
      <c r="N13" s="132" t="s">
        <v>64</v>
      </c>
      <c r="O13" s="163" t="s">
        <v>374</v>
      </c>
      <c r="P13" s="26"/>
      <c r="Q13" s="136">
        <f>IF(D13="",0,(D13))</f>
        <v>0</v>
      </c>
      <c r="R13" s="160"/>
      <c r="S13" s="136">
        <f>IF(F13="",0,(F13))</f>
        <v>0</v>
      </c>
      <c r="T13" s="161"/>
      <c r="U13" s="136">
        <f>IF(H13="",0,(H13))</f>
        <v>0</v>
      </c>
      <c r="W13" s="24"/>
      <c r="X13" s="24"/>
      <c r="Y13" s="8"/>
      <c r="Z13" s="8"/>
      <c r="AA13" s="8"/>
      <c r="AB13" s="8"/>
      <c r="AC13" s="8"/>
    </row>
    <row r="14" spans="1:33" ht="17.100000000000001" customHeight="1" thickTop="1" thickBot="1">
      <c r="A14" s="132" t="s">
        <v>67</v>
      </c>
      <c r="B14" s="133" t="s">
        <v>376</v>
      </c>
      <c r="C14" s="26"/>
      <c r="D14" s="134"/>
      <c r="E14" s="160"/>
      <c r="F14" s="134"/>
      <c r="G14" s="161"/>
      <c r="H14" s="1275"/>
      <c r="N14" s="132" t="s">
        <v>67</v>
      </c>
      <c r="O14" s="162" t="s">
        <v>376</v>
      </c>
      <c r="P14" s="26"/>
      <c r="Q14" s="136">
        <f t="shared" ref="Q14:Q31" si="0">IF(D14="",0,(D14))</f>
        <v>0</v>
      </c>
      <c r="R14" s="160"/>
      <c r="S14" s="136">
        <f t="shared" ref="S14:S16" si="1">IF(F14="",0,(F14))</f>
        <v>0</v>
      </c>
      <c r="T14" s="161"/>
      <c r="U14" s="136">
        <f t="shared" ref="U14:U16" si="2">IF(H14="",0,(H14))</f>
        <v>0</v>
      </c>
      <c r="W14" s="24"/>
      <c r="X14" s="24"/>
      <c r="Y14" s="8"/>
      <c r="Z14" s="8"/>
      <c r="AA14" s="8"/>
      <c r="AB14" s="8"/>
      <c r="AC14" s="8"/>
    </row>
    <row r="15" spans="1:33" ht="17.100000000000001" customHeight="1" thickTop="1" thickBot="1">
      <c r="A15" s="132" t="s">
        <v>92</v>
      </c>
      <c r="B15" s="164" t="s">
        <v>378</v>
      </c>
      <c r="C15" s="26"/>
      <c r="D15" s="134"/>
      <c r="E15" s="160"/>
      <c r="F15" s="134"/>
      <c r="G15" s="161"/>
      <c r="H15" s="1275"/>
      <c r="N15" s="132" t="s">
        <v>92</v>
      </c>
      <c r="O15" s="165" t="s">
        <v>378</v>
      </c>
      <c r="P15" s="26"/>
      <c r="Q15" s="136">
        <f t="shared" si="0"/>
        <v>0</v>
      </c>
      <c r="R15" s="160"/>
      <c r="S15" s="136">
        <f t="shared" si="1"/>
        <v>0</v>
      </c>
      <c r="T15" s="161"/>
      <c r="U15" s="136">
        <f t="shared" si="2"/>
        <v>0</v>
      </c>
      <c r="W15" s="24"/>
      <c r="X15" s="24"/>
      <c r="Y15" s="8"/>
      <c r="Z15" s="8"/>
      <c r="AA15" s="8"/>
      <c r="AB15" s="8"/>
      <c r="AC15" s="8"/>
    </row>
    <row r="16" spans="1:33" ht="17.100000000000001" customHeight="1" thickTop="1" thickBot="1">
      <c r="A16" s="132" t="s">
        <v>93</v>
      </c>
      <c r="B16" s="137" t="s">
        <v>379</v>
      </c>
      <c r="C16" s="26"/>
      <c r="D16" s="134"/>
      <c r="E16" s="160"/>
      <c r="F16" s="134"/>
      <c r="G16" s="161"/>
      <c r="H16" s="1275"/>
      <c r="N16" s="132" t="s">
        <v>93</v>
      </c>
      <c r="O16" s="166" t="s">
        <v>379</v>
      </c>
      <c r="P16" s="26"/>
      <c r="Q16" s="136">
        <f t="shared" si="0"/>
        <v>0</v>
      </c>
      <c r="R16" s="160"/>
      <c r="S16" s="136">
        <f t="shared" si="1"/>
        <v>0</v>
      </c>
      <c r="T16" s="161"/>
      <c r="U16" s="136">
        <f t="shared" si="2"/>
        <v>0</v>
      </c>
      <c r="W16" s="24"/>
      <c r="X16" s="24"/>
      <c r="Y16" s="8"/>
      <c r="Z16" s="8"/>
      <c r="AA16" s="8"/>
      <c r="AB16" s="8"/>
      <c r="AC16" s="8"/>
    </row>
    <row r="17" spans="1:29" ht="17.100000000000001" customHeight="1" thickTop="1" thickBot="1">
      <c r="A17" s="132" t="s">
        <v>281</v>
      </c>
      <c r="B17" s="133" t="s">
        <v>382</v>
      </c>
      <c r="C17" s="26"/>
      <c r="D17" s="134"/>
      <c r="E17" s="160"/>
      <c r="F17" s="1589" t="s">
        <v>2725</v>
      </c>
      <c r="G17" s="168"/>
      <c r="H17" s="1589" t="s">
        <v>2725</v>
      </c>
      <c r="N17" s="132" t="s">
        <v>281</v>
      </c>
      <c r="O17" s="162" t="s">
        <v>382</v>
      </c>
      <c r="P17" s="26"/>
      <c r="Q17" s="136">
        <f t="shared" si="0"/>
        <v>0</v>
      </c>
      <c r="R17" s="160"/>
      <c r="S17" s="167" t="s">
        <v>153</v>
      </c>
      <c r="T17" s="168"/>
      <c r="U17" s="167" t="s">
        <v>153</v>
      </c>
      <c r="W17" s="24"/>
      <c r="X17" s="24"/>
      <c r="Y17" s="8"/>
      <c r="Z17" s="8"/>
      <c r="AA17" s="8"/>
      <c r="AB17" s="8"/>
      <c r="AC17" s="8"/>
    </row>
    <row r="18" spans="1:29" ht="17.100000000000001" customHeight="1" thickTop="1" thickBot="1">
      <c r="A18" s="132" t="s">
        <v>282</v>
      </c>
      <c r="B18" s="133" t="s">
        <v>389</v>
      </c>
      <c r="C18" s="26"/>
      <c r="D18" s="134"/>
      <c r="E18" s="160"/>
      <c r="F18" s="1589" t="s">
        <v>2725</v>
      </c>
      <c r="G18" s="168"/>
      <c r="H18" s="1589" t="s">
        <v>2725</v>
      </c>
      <c r="N18" s="132" t="s">
        <v>282</v>
      </c>
      <c r="O18" s="162" t="s">
        <v>389</v>
      </c>
      <c r="P18" s="26"/>
      <c r="Q18" s="136">
        <f t="shared" si="0"/>
        <v>0</v>
      </c>
      <c r="R18" s="160"/>
      <c r="S18" s="167" t="s">
        <v>153</v>
      </c>
      <c r="T18" s="168"/>
      <c r="U18" s="167" t="s">
        <v>153</v>
      </c>
      <c r="W18" s="24"/>
      <c r="X18" s="24"/>
      <c r="Y18" s="8"/>
      <c r="Z18" s="8"/>
      <c r="AA18" s="8"/>
      <c r="AB18" s="8"/>
      <c r="AC18" s="8"/>
    </row>
    <row r="19" spans="1:29" ht="17.100000000000001" customHeight="1" thickTop="1" thickBot="1">
      <c r="A19" s="132" t="s">
        <v>290</v>
      </c>
      <c r="B19" s="141" t="s">
        <v>1634</v>
      </c>
      <c r="C19" s="26"/>
      <c r="D19" s="134"/>
      <c r="E19" s="160"/>
      <c r="F19" s="1589" t="s">
        <v>2725</v>
      </c>
      <c r="G19" s="168"/>
      <c r="H19" s="1589" t="s">
        <v>2725</v>
      </c>
      <c r="N19" s="132" t="s">
        <v>290</v>
      </c>
      <c r="O19" s="163" t="s">
        <v>1634</v>
      </c>
      <c r="P19" s="26"/>
      <c r="Q19" s="136">
        <f t="shared" si="0"/>
        <v>0</v>
      </c>
      <c r="R19" s="160"/>
      <c r="S19" s="167" t="s">
        <v>153</v>
      </c>
      <c r="T19" s="168"/>
      <c r="U19" s="167" t="s">
        <v>153</v>
      </c>
      <c r="W19" s="24"/>
      <c r="X19" s="24"/>
      <c r="Y19" s="8"/>
      <c r="Z19" s="8"/>
      <c r="AA19" s="8"/>
      <c r="AB19" s="8"/>
      <c r="AC19" s="8"/>
    </row>
    <row r="20" spans="1:29" ht="17.100000000000001" customHeight="1" thickTop="1" thickBot="1">
      <c r="A20" s="132" t="s">
        <v>293</v>
      </c>
      <c r="B20" s="133" t="s">
        <v>391</v>
      </c>
      <c r="C20" s="26"/>
      <c r="D20" s="134"/>
      <c r="E20" s="160"/>
      <c r="F20" s="1589" t="s">
        <v>2725</v>
      </c>
      <c r="G20" s="168"/>
      <c r="H20" s="1589" t="s">
        <v>2725</v>
      </c>
      <c r="N20" s="132" t="s">
        <v>293</v>
      </c>
      <c r="O20" s="162" t="s">
        <v>391</v>
      </c>
      <c r="P20" s="26"/>
      <c r="Q20" s="136">
        <f t="shared" si="0"/>
        <v>0</v>
      </c>
      <c r="R20" s="160"/>
      <c r="S20" s="167" t="s">
        <v>153</v>
      </c>
      <c r="T20" s="168"/>
      <c r="U20" s="167" t="s">
        <v>153</v>
      </c>
      <c r="W20" s="24"/>
      <c r="X20" s="24"/>
      <c r="Y20" s="8"/>
      <c r="Z20" s="8"/>
      <c r="AA20" s="8"/>
      <c r="AB20" s="8"/>
      <c r="AC20" s="8"/>
    </row>
    <row r="21" spans="1:29" ht="17.100000000000001" customHeight="1" thickTop="1" thickBot="1">
      <c r="A21" s="132" t="s">
        <v>564</v>
      </c>
      <c r="B21" s="133" t="s">
        <v>2109</v>
      </c>
      <c r="C21" s="26"/>
      <c r="D21" s="142"/>
      <c r="E21" s="107"/>
      <c r="F21" s="142"/>
      <c r="G21" s="140"/>
      <c r="H21" s="142"/>
      <c r="N21" s="132" t="s">
        <v>564</v>
      </c>
      <c r="O21" s="166" t="str">
        <f>IF(B21="","",(B21))</f>
        <v>Consultant's Fee (limited in the Manual)</v>
      </c>
      <c r="P21" s="26"/>
      <c r="Q21" s="143">
        <f t="shared" si="0"/>
        <v>0</v>
      </c>
      <c r="R21" s="107"/>
      <c r="S21" s="143">
        <f t="shared" ref="S21:S31" si="3">IF(F21="",0,(F21))</f>
        <v>0</v>
      </c>
      <c r="T21" s="140"/>
      <c r="U21" s="143">
        <f t="shared" ref="U21:U31" si="4">IF(H21="",0,(H21))</f>
        <v>0</v>
      </c>
      <c r="W21" s="24"/>
      <c r="X21" s="24"/>
      <c r="Y21" s="8"/>
      <c r="Z21" s="8"/>
      <c r="AA21" s="8"/>
      <c r="AB21" s="8"/>
      <c r="AC21" s="8"/>
    </row>
    <row r="22" spans="1:29" ht="17.100000000000001" customHeight="1" thickTop="1" thickBot="1">
      <c r="A22" s="132" t="s">
        <v>565</v>
      </c>
      <c r="B22" s="560" t="s">
        <v>2161</v>
      </c>
      <c r="C22" s="26"/>
      <c r="D22" s="142"/>
      <c r="E22" s="107"/>
      <c r="F22" s="142"/>
      <c r="G22" s="140"/>
      <c r="H22" s="142"/>
      <c r="I22" s="1732"/>
      <c r="J22" s="1715" t="s">
        <v>2157</v>
      </c>
      <c r="K22" s="1707">
        <f>+'FORM 1040-3'!Q50</f>
        <v>0</v>
      </c>
      <c r="N22" s="132" t="s">
        <v>565</v>
      </c>
      <c r="O22" s="166" t="str">
        <f t="shared" ref="O22:O31" si="5">IF(B22="","",(B22))</f>
        <v>Soft Cost Contingency (limited in the Manual)</v>
      </c>
      <c r="P22" s="26"/>
      <c r="Q22" s="143">
        <f t="shared" si="0"/>
        <v>0</v>
      </c>
      <c r="R22" s="107"/>
      <c r="S22" s="143">
        <f t="shared" si="3"/>
        <v>0</v>
      </c>
      <c r="T22" s="140"/>
      <c r="U22" s="143">
        <f t="shared" si="4"/>
        <v>0</v>
      </c>
      <c r="W22" s="24"/>
      <c r="X22" s="24"/>
      <c r="Y22" s="8"/>
      <c r="Z22" s="8"/>
      <c r="AA22" s="8"/>
      <c r="AB22" s="8"/>
      <c r="AC22" s="8"/>
    </row>
    <row r="23" spans="1:29" ht="17.100000000000001" customHeight="1" thickTop="1" thickBot="1">
      <c r="A23" s="132" t="s">
        <v>566</v>
      </c>
      <c r="B23" s="169"/>
      <c r="C23" s="26"/>
      <c r="D23" s="142"/>
      <c r="E23" s="107"/>
      <c r="F23" s="142"/>
      <c r="G23" s="140"/>
      <c r="H23" s="142"/>
      <c r="I23" s="1732"/>
      <c r="J23" s="1705"/>
      <c r="K23" s="1708"/>
      <c r="N23" s="132" t="s">
        <v>566</v>
      </c>
      <c r="O23" s="166" t="str">
        <f t="shared" si="5"/>
        <v/>
      </c>
      <c r="P23" s="26"/>
      <c r="Q23" s="143">
        <f t="shared" si="0"/>
        <v>0</v>
      </c>
      <c r="R23" s="107"/>
      <c r="S23" s="143">
        <f t="shared" si="3"/>
        <v>0</v>
      </c>
      <c r="T23" s="140"/>
      <c r="U23" s="143">
        <f t="shared" si="4"/>
        <v>0</v>
      </c>
      <c r="W23" s="24"/>
      <c r="X23" s="24"/>
      <c r="Y23" s="8"/>
      <c r="Z23" s="8"/>
      <c r="AA23" s="8"/>
      <c r="AB23" s="8"/>
      <c r="AC23" s="8"/>
    </row>
    <row r="24" spans="1:29" ht="17.100000000000001" customHeight="1" thickTop="1" thickBot="1">
      <c r="A24" s="132" t="s">
        <v>567</v>
      </c>
      <c r="B24" s="169"/>
      <c r="C24" s="26"/>
      <c r="D24" s="142"/>
      <c r="E24" s="107"/>
      <c r="F24" s="142"/>
      <c r="G24" s="140"/>
      <c r="H24" s="142"/>
      <c r="I24" s="1732"/>
      <c r="J24" s="1705" t="s">
        <v>2158</v>
      </c>
      <c r="K24" s="1708">
        <f>+'FORM 1040-3'!S50</f>
        <v>0</v>
      </c>
      <c r="N24" s="132" t="s">
        <v>567</v>
      </c>
      <c r="O24" s="166" t="str">
        <f t="shared" si="5"/>
        <v/>
      </c>
      <c r="P24" s="26"/>
      <c r="Q24" s="143">
        <f t="shared" si="0"/>
        <v>0</v>
      </c>
      <c r="R24" s="107"/>
      <c r="S24" s="143">
        <f t="shared" si="3"/>
        <v>0</v>
      </c>
      <c r="T24" s="140"/>
      <c r="U24" s="143">
        <f t="shared" si="4"/>
        <v>0</v>
      </c>
      <c r="W24" s="24"/>
      <c r="X24" s="24"/>
      <c r="Y24" s="8"/>
      <c r="Z24" s="8"/>
      <c r="AA24" s="8"/>
      <c r="AB24" s="8"/>
      <c r="AC24" s="8"/>
    </row>
    <row r="25" spans="1:29" ht="17.100000000000001" customHeight="1" thickTop="1" thickBot="1">
      <c r="A25" s="132" t="s">
        <v>568</v>
      </c>
      <c r="B25" s="169"/>
      <c r="C25" s="26"/>
      <c r="D25" s="142"/>
      <c r="E25" s="107"/>
      <c r="F25" s="142"/>
      <c r="G25" s="140"/>
      <c r="H25" s="142"/>
      <c r="I25" s="1732"/>
      <c r="J25" s="1705"/>
      <c r="K25" s="1708"/>
      <c r="N25" s="132" t="s">
        <v>568</v>
      </c>
      <c r="O25" s="166" t="str">
        <f t="shared" si="5"/>
        <v/>
      </c>
      <c r="P25" s="26"/>
      <c r="Q25" s="143">
        <f t="shared" si="0"/>
        <v>0</v>
      </c>
      <c r="R25" s="107"/>
      <c r="S25" s="143">
        <f t="shared" si="3"/>
        <v>0</v>
      </c>
      <c r="T25" s="140"/>
      <c r="U25" s="143">
        <f t="shared" si="4"/>
        <v>0</v>
      </c>
      <c r="W25" s="24"/>
      <c r="X25" s="24"/>
      <c r="Y25" s="8"/>
      <c r="Z25" s="8"/>
      <c r="AA25" s="8"/>
      <c r="AB25" s="8"/>
      <c r="AC25" s="8"/>
    </row>
    <row r="26" spans="1:29" ht="17.100000000000001" customHeight="1" thickTop="1" thickBot="1">
      <c r="A26" s="132" t="s">
        <v>569</v>
      </c>
      <c r="B26" s="169"/>
      <c r="C26" s="26"/>
      <c r="D26" s="142"/>
      <c r="E26" s="107"/>
      <c r="F26" s="142"/>
      <c r="G26" s="140"/>
      <c r="H26" s="142"/>
      <c r="I26" s="1732"/>
      <c r="J26" s="1705" t="s">
        <v>2159</v>
      </c>
      <c r="K26" s="1708">
        <f>+'FORM 1040-3'!U50</f>
        <v>0</v>
      </c>
      <c r="N26" s="132" t="s">
        <v>569</v>
      </c>
      <c r="O26" s="166" t="str">
        <f t="shared" si="5"/>
        <v/>
      </c>
      <c r="P26" s="26"/>
      <c r="Q26" s="143">
        <f t="shared" si="0"/>
        <v>0</v>
      </c>
      <c r="R26" s="107"/>
      <c r="S26" s="143">
        <f t="shared" si="3"/>
        <v>0</v>
      </c>
      <c r="T26" s="140"/>
      <c r="U26" s="143">
        <f t="shared" si="4"/>
        <v>0</v>
      </c>
      <c r="W26" s="24"/>
      <c r="X26" s="24"/>
      <c r="Y26" s="8"/>
      <c r="Z26" s="8"/>
      <c r="AA26" s="8"/>
      <c r="AB26" s="8"/>
      <c r="AC26" s="8"/>
    </row>
    <row r="27" spans="1:29" ht="17.100000000000001" customHeight="1" thickTop="1" thickBot="1">
      <c r="A27" s="132" t="s">
        <v>570</v>
      </c>
      <c r="B27" s="169"/>
      <c r="C27" s="26"/>
      <c r="D27" s="142"/>
      <c r="E27" s="107"/>
      <c r="F27" s="142"/>
      <c r="G27" s="140"/>
      <c r="H27" s="142"/>
      <c r="I27" s="1732"/>
      <c r="J27" s="1706"/>
      <c r="K27" s="1709"/>
      <c r="N27" s="132" t="s">
        <v>570</v>
      </c>
      <c r="O27" s="166" t="str">
        <f t="shared" si="5"/>
        <v/>
      </c>
      <c r="P27" s="26"/>
      <c r="Q27" s="143">
        <f t="shared" si="0"/>
        <v>0</v>
      </c>
      <c r="R27" s="107"/>
      <c r="S27" s="143">
        <f t="shared" si="3"/>
        <v>0</v>
      </c>
      <c r="T27" s="140"/>
      <c r="U27" s="143">
        <f t="shared" si="4"/>
        <v>0</v>
      </c>
      <c r="W27" s="24"/>
      <c r="X27" s="24"/>
      <c r="Y27" s="8"/>
      <c r="Z27" s="8"/>
      <c r="AA27" s="8"/>
      <c r="AB27" s="8"/>
      <c r="AC27" s="8"/>
    </row>
    <row r="28" spans="1:29" ht="17.100000000000001" customHeight="1" thickTop="1" thickBot="1">
      <c r="A28" s="132" t="s">
        <v>571</v>
      </c>
      <c r="B28" s="169"/>
      <c r="C28" s="26"/>
      <c r="D28" s="142"/>
      <c r="E28" s="107"/>
      <c r="F28" s="142"/>
      <c r="G28" s="140"/>
      <c r="H28" s="142"/>
      <c r="N28" s="132" t="s">
        <v>571</v>
      </c>
      <c r="O28" s="166" t="str">
        <f t="shared" si="5"/>
        <v/>
      </c>
      <c r="P28" s="26"/>
      <c r="Q28" s="143">
        <f t="shared" si="0"/>
        <v>0</v>
      </c>
      <c r="R28" s="107"/>
      <c r="S28" s="143">
        <f t="shared" si="3"/>
        <v>0</v>
      </c>
      <c r="T28" s="140"/>
      <c r="U28" s="143">
        <f t="shared" si="4"/>
        <v>0</v>
      </c>
      <c r="W28" s="24"/>
      <c r="X28" s="24"/>
      <c r="Y28" s="8"/>
      <c r="Z28" s="8"/>
      <c r="AA28" s="8"/>
      <c r="AB28" s="8"/>
      <c r="AC28" s="8"/>
    </row>
    <row r="29" spans="1:29" ht="17.100000000000001" customHeight="1" thickTop="1" thickBot="1">
      <c r="A29" s="132" t="s">
        <v>572</v>
      </c>
      <c r="B29" s="169"/>
      <c r="C29" s="26"/>
      <c r="D29" s="134"/>
      <c r="E29" s="107"/>
      <c r="F29" s="134"/>
      <c r="G29" s="140"/>
      <c r="H29" s="1275"/>
      <c r="N29" s="132" t="s">
        <v>572</v>
      </c>
      <c r="O29" s="166" t="str">
        <f t="shared" si="5"/>
        <v/>
      </c>
      <c r="P29" s="26"/>
      <c r="Q29" s="136">
        <f t="shared" si="0"/>
        <v>0</v>
      </c>
      <c r="R29" s="107"/>
      <c r="S29" s="143">
        <f t="shared" si="3"/>
        <v>0</v>
      </c>
      <c r="T29" s="140"/>
      <c r="U29" s="136">
        <f t="shared" si="4"/>
        <v>0</v>
      </c>
      <c r="W29" s="8"/>
      <c r="X29" s="8"/>
      <c r="Y29" s="8"/>
      <c r="Z29" s="8"/>
      <c r="AA29" s="8"/>
      <c r="AB29" s="8"/>
      <c r="AC29" s="107"/>
    </row>
    <row r="30" spans="1:29" ht="17.100000000000001" customHeight="1" thickTop="1" thickBot="1">
      <c r="A30" s="132" t="s">
        <v>573</v>
      </c>
      <c r="B30" s="170"/>
      <c r="C30" s="26"/>
      <c r="D30" s="134"/>
      <c r="E30" s="107"/>
      <c r="F30" s="134"/>
      <c r="G30" s="140"/>
      <c r="H30" s="1275"/>
      <c r="N30" s="132" t="s">
        <v>573</v>
      </c>
      <c r="O30" s="162" t="str">
        <f t="shared" si="5"/>
        <v/>
      </c>
      <c r="P30" s="26"/>
      <c r="Q30" s="136">
        <f t="shared" si="0"/>
        <v>0</v>
      </c>
      <c r="R30" s="107"/>
      <c r="S30" s="143">
        <f t="shared" si="3"/>
        <v>0</v>
      </c>
      <c r="T30" s="140"/>
      <c r="U30" s="136">
        <f t="shared" si="4"/>
        <v>0</v>
      </c>
      <c r="W30" s="8"/>
      <c r="X30" s="8"/>
      <c r="Y30" s="8"/>
      <c r="Z30" s="8"/>
      <c r="AA30" s="8"/>
      <c r="AB30" s="8"/>
      <c r="AC30" s="8"/>
    </row>
    <row r="31" spans="1:29" ht="17.100000000000001" customHeight="1" thickTop="1" thickBot="1">
      <c r="A31" s="132" t="s">
        <v>574</v>
      </c>
      <c r="B31" s="170"/>
      <c r="C31" s="26"/>
      <c r="D31" s="134"/>
      <c r="E31" s="107"/>
      <c r="F31" s="134"/>
      <c r="G31" s="140"/>
      <c r="H31" s="1275"/>
      <c r="N31" s="132" t="s">
        <v>574</v>
      </c>
      <c r="O31" s="162" t="str">
        <f t="shared" si="5"/>
        <v/>
      </c>
      <c r="P31" s="26"/>
      <c r="Q31" s="136">
        <f t="shared" si="0"/>
        <v>0</v>
      </c>
      <c r="R31" s="107"/>
      <c r="S31" s="143">
        <f t="shared" si="3"/>
        <v>0</v>
      </c>
      <c r="T31" s="140"/>
      <c r="U31" s="136">
        <f t="shared" si="4"/>
        <v>0</v>
      </c>
      <c r="W31" s="8"/>
      <c r="X31" s="8"/>
      <c r="Y31" s="8"/>
      <c r="Z31" s="8"/>
      <c r="AA31" s="8"/>
      <c r="AB31" s="8"/>
      <c r="AC31" s="8"/>
    </row>
    <row r="32" spans="1:29" ht="30" customHeight="1" thickTop="1" thickBot="1">
      <c r="A32" s="158"/>
      <c r="B32" s="133" t="s">
        <v>576</v>
      </c>
      <c r="C32" s="150"/>
      <c r="D32" s="151">
        <f>SUM(D12:D31)</f>
        <v>0</v>
      </c>
      <c r="E32" s="152"/>
      <c r="F32" s="151">
        <f>SUM(F12:F31)</f>
        <v>0</v>
      </c>
      <c r="G32" s="150"/>
      <c r="H32" s="151">
        <f>SUM(H12:H31)</f>
        <v>0</v>
      </c>
      <c r="N32" s="158"/>
      <c r="O32" s="133" t="s">
        <v>576</v>
      </c>
      <c r="P32" s="150"/>
      <c r="Q32" s="151"/>
      <c r="R32" s="152"/>
      <c r="S32" s="151"/>
      <c r="T32" s="150"/>
      <c r="U32" s="151"/>
    </row>
    <row r="33" spans="1:33" ht="8.1" customHeight="1" thickTop="1">
      <c r="A33" s="171"/>
      <c r="B33" s="172"/>
      <c r="C33" s="140"/>
      <c r="D33" s="140"/>
      <c r="E33" s="140"/>
      <c r="F33" s="140"/>
      <c r="G33" s="140"/>
      <c r="H33" s="140"/>
      <c r="N33" s="171"/>
      <c r="O33" s="172"/>
      <c r="P33" s="140"/>
      <c r="Q33" s="140"/>
      <c r="R33" s="140"/>
      <c r="S33" s="140"/>
      <c r="T33" s="140"/>
      <c r="U33" s="140"/>
    </row>
    <row r="34" spans="1:33" ht="26.1" customHeight="1">
      <c r="A34" s="173" t="s">
        <v>101</v>
      </c>
      <c r="B34" s="1656" t="s">
        <v>2100</v>
      </c>
      <c r="C34" s="1656"/>
      <c r="D34" s="1656"/>
      <c r="E34" s="1656"/>
      <c r="F34" s="1656"/>
      <c r="G34" s="1656"/>
      <c r="H34" s="1656"/>
      <c r="N34" s="173" t="s">
        <v>101</v>
      </c>
      <c r="O34" s="1656" t="s">
        <v>2100</v>
      </c>
      <c r="P34" s="1656"/>
      <c r="Q34" s="1656"/>
      <c r="R34" s="1656"/>
      <c r="S34" s="1656"/>
      <c r="T34" s="1656"/>
      <c r="U34" s="1656"/>
    </row>
    <row r="35" spans="1:33" ht="8.1" customHeight="1"/>
    <row r="36" spans="1:33" ht="41.1" customHeight="1">
      <c r="A36" s="657" t="s">
        <v>1632</v>
      </c>
      <c r="B36" s="1656" t="s">
        <v>1633</v>
      </c>
      <c r="C36" s="1656"/>
      <c r="D36" s="1656"/>
      <c r="E36" s="1656"/>
      <c r="F36" s="1656"/>
      <c r="G36" s="1656"/>
      <c r="H36" s="1656"/>
      <c r="N36" s="657" t="s">
        <v>1632</v>
      </c>
      <c r="O36" s="1656" t="s">
        <v>1633</v>
      </c>
      <c r="P36" s="1656"/>
      <c r="Q36" s="1656"/>
      <c r="R36" s="1656"/>
      <c r="S36" s="1656"/>
      <c r="T36" s="1656"/>
      <c r="U36" s="1656"/>
      <c r="W36" s="645"/>
      <c r="X36" s="645"/>
      <c r="Y36" s="645"/>
      <c r="Z36" s="645"/>
      <c r="AA36" s="645"/>
      <c r="AB36" s="645"/>
      <c r="AC36" s="645"/>
      <c r="AD36" s="645"/>
      <c r="AE36" s="645"/>
      <c r="AF36" s="645"/>
      <c r="AG36" s="645"/>
    </row>
    <row r="37" spans="1:33" ht="8.1" customHeight="1">
      <c r="B37" s="645"/>
      <c r="C37" s="645"/>
      <c r="D37" s="645"/>
      <c r="E37" s="645"/>
      <c r="F37" s="645"/>
      <c r="G37" s="645"/>
      <c r="H37" s="645"/>
      <c r="O37" s="645"/>
      <c r="P37" s="645"/>
      <c r="Q37" s="645"/>
      <c r="R37" s="645"/>
      <c r="S37" s="645"/>
      <c r="T37" s="645"/>
      <c r="U37" s="645"/>
      <c r="W37" s="645"/>
      <c r="X37" s="645"/>
      <c r="Y37" s="645"/>
      <c r="Z37" s="645"/>
      <c r="AA37" s="645"/>
      <c r="AB37" s="645"/>
      <c r="AC37" s="645"/>
      <c r="AD37" s="645"/>
      <c r="AE37" s="645"/>
      <c r="AF37" s="645"/>
      <c r="AG37" s="645"/>
    </row>
    <row r="38" spans="1:33" ht="18.75" customHeight="1">
      <c r="A38" s="1735" t="s">
        <v>2880</v>
      </c>
      <c r="B38" s="1735"/>
      <c r="C38" s="1735"/>
      <c r="D38" s="1735"/>
      <c r="E38" s="1735"/>
      <c r="F38" s="1735"/>
      <c r="G38" s="1735"/>
      <c r="H38" s="1735"/>
      <c r="O38" s="986"/>
      <c r="P38" s="986"/>
      <c r="Q38" s="986"/>
      <c r="R38" s="986"/>
      <c r="S38" s="986"/>
      <c r="T38" s="986"/>
      <c r="U38" s="986"/>
      <c r="W38" s="986"/>
      <c r="X38" s="986"/>
      <c r="Y38" s="986"/>
      <c r="Z38" s="986"/>
      <c r="AA38" s="986"/>
      <c r="AB38" s="986"/>
      <c r="AC38" s="986"/>
      <c r="AD38" s="986"/>
      <c r="AE38" s="986"/>
      <c r="AF38" s="986"/>
      <c r="AG38" s="986"/>
    </row>
    <row r="39" spans="1:33" ht="8.1" customHeight="1">
      <c r="B39" s="986"/>
      <c r="C39" s="986"/>
      <c r="D39" s="986"/>
      <c r="E39" s="986"/>
      <c r="F39" s="986"/>
      <c r="G39" s="986"/>
      <c r="H39" s="986"/>
      <c r="O39" s="986"/>
      <c r="P39" s="986"/>
      <c r="Q39" s="986"/>
      <c r="R39" s="986"/>
      <c r="S39" s="986"/>
      <c r="T39" s="986"/>
      <c r="U39" s="986"/>
      <c r="W39" s="986"/>
      <c r="X39" s="986"/>
      <c r="Y39" s="986"/>
      <c r="Z39" s="986"/>
      <c r="AA39" s="986"/>
      <c r="AB39" s="986"/>
      <c r="AC39" s="986"/>
      <c r="AD39" s="986"/>
      <c r="AE39" s="986"/>
      <c r="AF39" s="986"/>
      <c r="AG39" s="986"/>
    </row>
    <row r="40" spans="1:33" ht="26.1" customHeight="1">
      <c r="A40" s="1656" t="s">
        <v>2881</v>
      </c>
      <c r="B40" s="1656"/>
      <c r="C40" s="1656"/>
      <c r="D40" s="1656"/>
      <c r="E40" s="1656"/>
      <c r="F40" s="1656"/>
      <c r="G40" s="1656"/>
      <c r="H40" s="1656"/>
      <c r="N40" s="40"/>
      <c r="P40" s="157"/>
      <c r="Q40" s="157"/>
      <c r="R40" s="157"/>
      <c r="S40" s="157"/>
      <c r="T40" s="157"/>
      <c r="U40" s="157"/>
      <c r="W40" s="40"/>
      <c r="X40" s="40"/>
      <c r="Y40" s="40"/>
      <c r="Z40" s="40"/>
      <c r="AA40" s="40"/>
      <c r="AB40" s="40"/>
      <c r="AC40" s="40"/>
      <c r="AD40" s="40"/>
      <c r="AE40" s="40"/>
      <c r="AF40" s="40"/>
      <c r="AG40" s="40"/>
    </row>
    <row r="41" spans="1:33" ht="6" customHeight="1">
      <c r="A41" s="40"/>
      <c r="B41" s="40"/>
      <c r="C41" s="40"/>
      <c r="D41" s="40"/>
      <c r="E41" s="40"/>
      <c r="F41" s="40"/>
      <c r="G41" s="40"/>
      <c r="H41" s="40"/>
      <c r="N41" s="40"/>
      <c r="O41" s="40"/>
      <c r="P41" s="40"/>
      <c r="Q41" s="40"/>
      <c r="R41" s="40"/>
      <c r="S41" s="40"/>
      <c r="T41" s="40"/>
      <c r="U41" s="40"/>
      <c r="W41" s="40"/>
      <c r="X41" s="40"/>
      <c r="Y41" s="40"/>
      <c r="Z41" s="40"/>
      <c r="AA41" s="40"/>
      <c r="AB41" s="40"/>
      <c r="AC41" s="40"/>
      <c r="AD41" s="40"/>
      <c r="AE41" s="40"/>
      <c r="AF41" s="40"/>
      <c r="AG41" s="40"/>
    </row>
    <row r="42" spans="1:33" ht="26.1" customHeight="1" thickBot="1">
      <c r="A42" s="40"/>
      <c r="B42" s="1656" t="s">
        <v>2882</v>
      </c>
      <c r="C42" s="1656"/>
      <c r="D42" s="1656"/>
      <c r="E42" s="1656"/>
      <c r="F42" s="1656"/>
      <c r="G42" s="1656"/>
      <c r="H42" s="1037"/>
      <c r="N42" s="40"/>
      <c r="P42" s="40"/>
      <c r="Q42" s="40"/>
      <c r="R42" s="40"/>
      <c r="S42" s="40"/>
      <c r="T42" s="40"/>
      <c r="U42" s="40"/>
      <c r="W42" s="40"/>
      <c r="X42" s="40"/>
      <c r="Y42" s="40"/>
      <c r="Z42" s="40"/>
      <c r="AA42" s="40"/>
      <c r="AB42" s="40"/>
      <c r="AC42" s="40"/>
      <c r="AD42" s="40"/>
      <c r="AE42" s="40"/>
      <c r="AF42" s="40"/>
      <c r="AG42" s="40"/>
    </row>
    <row r="43" spans="1:33" ht="6" customHeight="1" thickTop="1">
      <c r="A43" s="40"/>
      <c r="B43" s="992"/>
      <c r="C43" s="992"/>
      <c r="D43" s="992"/>
      <c r="E43" s="992"/>
      <c r="F43" s="992"/>
      <c r="G43" s="992"/>
      <c r="H43" s="40"/>
      <c r="N43" s="40"/>
      <c r="O43" s="986"/>
      <c r="P43" s="40"/>
      <c r="Q43" s="40"/>
      <c r="R43" s="40"/>
      <c r="S43" s="40"/>
      <c r="T43" s="40"/>
      <c r="U43" s="40"/>
      <c r="W43" s="40"/>
      <c r="X43" s="40"/>
      <c r="Y43" s="40"/>
      <c r="Z43" s="40"/>
      <c r="AA43" s="40"/>
      <c r="AB43" s="40"/>
      <c r="AC43" s="40"/>
      <c r="AD43" s="40"/>
      <c r="AE43" s="40"/>
      <c r="AF43" s="40"/>
      <c r="AG43" s="40"/>
    </row>
    <row r="44" spans="1:33" s="1005" customFormat="1" ht="39" customHeight="1">
      <c r="A44" s="1006"/>
      <c r="B44" s="1736" t="s">
        <v>2259</v>
      </c>
      <c r="C44" s="1736"/>
      <c r="D44" s="1736"/>
      <c r="E44" s="1736"/>
      <c r="F44" s="1736"/>
      <c r="G44" s="1736"/>
      <c r="H44" s="1736"/>
      <c r="J44" s="1058"/>
      <c r="K44" s="1058"/>
      <c r="L44" s="1058"/>
      <c r="M44" s="449"/>
      <c r="V44" s="449"/>
    </row>
    <row r="45" spans="1:33" ht="15" customHeight="1">
      <c r="A45" s="40"/>
      <c r="B45" s="40"/>
      <c r="C45" s="40"/>
      <c r="D45" s="40"/>
      <c r="E45" s="40"/>
      <c r="F45" s="40"/>
      <c r="G45" s="40"/>
      <c r="H45" s="40"/>
      <c r="N45" s="40"/>
      <c r="O45" s="40"/>
      <c r="P45" s="40"/>
      <c r="Q45" s="40"/>
      <c r="R45" s="40"/>
      <c r="S45" s="40"/>
      <c r="T45" s="40"/>
      <c r="U45" s="40"/>
      <c r="W45" s="40"/>
      <c r="X45" s="40"/>
      <c r="Y45" s="40"/>
      <c r="Z45" s="40"/>
      <c r="AA45" s="40"/>
      <c r="AB45" s="40"/>
      <c r="AC45" s="40"/>
      <c r="AD45" s="40"/>
      <c r="AE45" s="40"/>
      <c r="AF45" s="40"/>
      <c r="AG45" s="40"/>
    </row>
    <row r="46" spans="1:33" ht="15" customHeight="1">
      <c r="A46" s="40"/>
      <c r="B46" s="40"/>
      <c r="C46" s="40"/>
      <c r="D46" s="40"/>
      <c r="E46" s="40"/>
      <c r="F46" s="40"/>
      <c r="G46" s="40"/>
      <c r="H46" s="40"/>
      <c r="N46" s="40"/>
      <c r="O46" s="40"/>
      <c r="P46" s="40"/>
      <c r="Q46" s="40"/>
      <c r="R46" s="40"/>
      <c r="S46" s="40"/>
      <c r="T46" s="40"/>
      <c r="U46" s="40"/>
      <c r="W46" s="40"/>
      <c r="X46" s="40"/>
      <c r="Y46" s="40"/>
      <c r="Z46" s="40"/>
      <c r="AA46" s="40"/>
      <c r="AB46" s="40"/>
      <c r="AC46" s="40"/>
      <c r="AD46" s="40"/>
      <c r="AE46" s="40"/>
      <c r="AF46" s="40"/>
      <c r="AG46" s="40"/>
    </row>
    <row r="47" spans="1:33" ht="15" customHeight="1">
      <c r="A47" s="125"/>
      <c r="B47" s="8"/>
      <c r="C47" s="8"/>
      <c r="D47" s="8"/>
      <c r="E47" s="105"/>
      <c r="F47" s="174"/>
      <c r="G47" s="174"/>
      <c r="H47" s="174"/>
      <c r="N47" s="125"/>
      <c r="O47" s="8"/>
      <c r="P47" s="8"/>
      <c r="Q47" s="8"/>
      <c r="R47" s="105"/>
      <c r="S47" s="174"/>
      <c r="T47" s="174"/>
      <c r="U47" s="174"/>
    </row>
    <row r="48" spans="1:33" ht="15" customHeight="1">
      <c r="A48" s="125"/>
      <c r="B48" s="8"/>
      <c r="C48" s="8"/>
      <c r="D48" s="8"/>
      <c r="E48" s="105"/>
      <c r="F48" s="174"/>
      <c r="G48" s="174"/>
      <c r="H48" s="174"/>
      <c r="N48" s="125"/>
      <c r="O48" s="8"/>
      <c r="P48" s="8"/>
      <c r="Q48" s="8"/>
      <c r="R48" s="105"/>
      <c r="S48" s="174"/>
      <c r="T48" s="174"/>
      <c r="U48" s="174"/>
    </row>
    <row r="49" spans="13:22" s="40" customFormat="1" ht="15" customHeight="1">
      <c r="M49" s="41"/>
      <c r="V49" s="41"/>
    </row>
    <row r="50" spans="13:22" s="40" customFormat="1" ht="15" customHeight="1">
      <c r="M50" s="41"/>
      <c r="V50" s="41"/>
    </row>
    <row r="51" spans="13:22" s="40" customFormat="1" ht="15" customHeight="1">
      <c r="M51" s="41"/>
      <c r="V51" s="41"/>
    </row>
    <row r="52" spans="13:22" s="40" customFormat="1">
      <c r="M52" s="41"/>
      <c r="V52" s="41"/>
    </row>
    <row r="53" spans="13:22" s="40" customFormat="1">
      <c r="M53" s="41"/>
      <c r="V53" s="41"/>
    </row>
    <row r="54" spans="13:22" s="40" customFormat="1">
      <c r="M54" s="41"/>
      <c r="V54" s="41"/>
    </row>
    <row r="55" spans="13:22" s="40" customFormat="1">
      <c r="M55" s="41"/>
      <c r="V55" s="41"/>
    </row>
    <row r="56" spans="13:22" s="40" customFormat="1">
      <c r="M56" s="41"/>
      <c r="V56" s="41"/>
    </row>
    <row r="57" spans="13:22" s="40" customFormat="1">
      <c r="M57" s="41"/>
      <c r="V57" s="41"/>
    </row>
    <row r="58" spans="13:22" s="40" customFormat="1">
      <c r="M58" s="41"/>
      <c r="V58" s="41"/>
    </row>
  </sheetData>
  <sheetProtection algorithmName="SHA-512" hashValue="m9S6T8AVCFd0dVBxOdNkNdAIainHuzQdYsB2+yogp1bNtG/fQIpiw0gx5VNTGUf3LuBgc95BuNldXEG3011KLw==" saltValue="wKMcqHNALYJYCLOSObb+fg==" spinCount="100000" sheet="1" objects="1" scenarios="1"/>
  <mergeCells count="21">
    <mergeCell ref="A40:H40"/>
    <mergeCell ref="B42:G42"/>
    <mergeCell ref="A38:H38"/>
    <mergeCell ref="B44:H44"/>
    <mergeCell ref="B34:H34"/>
    <mergeCell ref="B36:H36"/>
    <mergeCell ref="Q11:Q12"/>
    <mergeCell ref="S11:S12"/>
    <mergeCell ref="U11:U12"/>
    <mergeCell ref="O34:U34"/>
    <mergeCell ref="O36:U36"/>
    <mergeCell ref="I22:I23"/>
    <mergeCell ref="I24:I25"/>
    <mergeCell ref="I26:I27"/>
    <mergeCell ref="J3:K5"/>
    <mergeCell ref="J22:J23"/>
    <mergeCell ref="J24:J25"/>
    <mergeCell ref="J26:J27"/>
    <mergeCell ref="K22:K23"/>
    <mergeCell ref="K24:K25"/>
    <mergeCell ref="K26:K27"/>
  </mergeCells>
  <dataValidations count="4">
    <dataValidation type="list" allowBlank="1" showInputMessage="1" showErrorMessage="1" sqref="H42" xr:uid="{00000000-0002-0000-0800-000000000000}">
      <formula1>$U$1:$U$2</formula1>
    </dataValidation>
    <dataValidation type="decimal" operator="lessThanOrEqual" allowBlank="1" showInputMessage="1" showErrorMessage="1" error="The Soft Cost Contingency is in excess of the maximum contingency allowed." sqref="D22" xr:uid="{00000000-0002-0000-0800-000001000000}">
      <formula1>K22</formula1>
    </dataValidation>
    <dataValidation type="decimal" operator="lessThanOrEqual" allowBlank="1" showInputMessage="1" showErrorMessage="1" error="The Soft Cost Contingency is in excess of the maximum contingency allowed." sqref="F22" xr:uid="{00000000-0002-0000-0800-000002000000}">
      <formula1>K24</formula1>
    </dataValidation>
    <dataValidation type="decimal" operator="lessThanOrEqual" allowBlank="1" showInputMessage="1" showErrorMessage="1" error="The Soft Cost Contingency is in excess of the maximum contingency allowed." sqref="H22" xr:uid="{00000000-0002-0000-0800-000003000000}">
      <formula1>K26</formula1>
    </dataValidation>
  </dataValidations>
  <pageMargins left="0.75" right="0.5" top="0.5" bottom="0.75" header="0" footer="0.5"/>
  <pageSetup scale="90" orientation="portrait" r:id="rId1"/>
  <headerFooter alignWithMargins="0">
    <oddFooter>&amp;C&amp;A&amp;R&amp;D &amp;T</oddFooter>
  </headerFooter>
  <rowBreaks count="1" manualBreakCount="1">
    <brk id="121" max="65535"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53</vt:i4>
      </vt:variant>
      <vt:variant>
        <vt:lpstr>Named Ranges</vt:lpstr>
      </vt:variant>
      <vt:variant>
        <vt:i4>60</vt:i4>
      </vt:variant>
    </vt:vector>
  </HeadingPairs>
  <TitlesOfParts>
    <vt:vector size="113" baseType="lpstr">
      <vt:lpstr>FORM 1040-1</vt:lpstr>
      <vt:lpstr>FORM 1040-1a</vt:lpstr>
      <vt:lpstr>FORM 1040-1b</vt:lpstr>
      <vt:lpstr>FORM 1040-1h</vt:lpstr>
      <vt:lpstr>FORM 1040-2</vt:lpstr>
      <vt:lpstr>FORM 1040-2a</vt:lpstr>
      <vt:lpstr>FORM 1040-3</vt:lpstr>
      <vt:lpstr>FORM 1040-4</vt:lpstr>
      <vt:lpstr>FORM 1040-5</vt:lpstr>
      <vt:lpstr>FORM 1040-5a</vt:lpstr>
      <vt:lpstr>FORM 1040-5b</vt:lpstr>
      <vt:lpstr>FORM 1040-6</vt:lpstr>
      <vt:lpstr>FORM 1040-7</vt:lpstr>
      <vt:lpstr>FORM 1040-7a</vt:lpstr>
      <vt:lpstr>FORM 1040-8</vt:lpstr>
      <vt:lpstr>FORM 1040-8a</vt:lpstr>
      <vt:lpstr>FORM 1040-9</vt:lpstr>
      <vt:lpstr>FORM 1040-10</vt:lpstr>
      <vt:lpstr>FORM 1040-10h</vt:lpstr>
      <vt:lpstr>FORM 1040-11</vt:lpstr>
      <vt:lpstr>FORM 1040-12</vt:lpstr>
      <vt:lpstr>FORM 1040-13</vt:lpstr>
      <vt:lpstr>FORM 1040-14</vt:lpstr>
      <vt:lpstr>FORM 1040-14a</vt:lpstr>
      <vt:lpstr>FORM 1040-15</vt:lpstr>
      <vt:lpstr>FORM 1040-15a</vt:lpstr>
      <vt:lpstr>FORM 1040-16</vt:lpstr>
      <vt:lpstr>FORM 1040-17</vt:lpstr>
      <vt:lpstr>FORM 1040-18</vt:lpstr>
      <vt:lpstr>FORM 1040-19</vt:lpstr>
      <vt:lpstr>FORM 1040-20</vt:lpstr>
      <vt:lpstr>FORM 1040-21</vt:lpstr>
      <vt:lpstr>FORM 1040-22</vt:lpstr>
      <vt:lpstr>FORM 1040-23</vt:lpstr>
      <vt:lpstr>FORM 1040-24</vt:lpstr>
      <vt:lpstr>FORM 1040-25</vt:lpstr>
      <vt:lpstr>FORM 1040-26</vt:lpstr>
      <vt:lpstr>FORM 1040-27</vt:lpstr>
      <vt:lpstr>FORM 1040-28</vt:lpstr>
      <vt:lpstr>FORM 1040-29</vt:lpstr>
      <vt:lpstr>FORM 1040-30</vt:lpstr>
      <vt:lpstr>FORM 1040-31</vt:lpstr>
      <vt:lpstr>FORM 1040-31a</vt:lpstr>
      <vt:lpstr>LIHTCP SIGNATURE PAGE</vt:lpstr>
      <vt:lpstr>HOME HTF SIGNATURE PAGE</vt:lpstr>
      <vt:lpstr>MULTIFAMILY LOAN SIGNATURE PAGE</vt:lpstr>
      <vt:lpstr>LIHTCP SCORESHEET</vt:lpstr>
      <vt:lpstr>DEFINITIONS</vt:lpstr>
      <vt:lpstr>INTERMEDIARY COSTS - FUND USE</vt:lpstr>
      <vt:lpstr>PROP COST ANALYSIS - FUND USE</vt:lpstr>
      <vt:lpstr>PROPERTY COST ADJ - FUND USE</vt:lpstr>
      <vt:lpstr>HCDA NEEDED - FUND USE</vt:lpstr>
      <vt:lpstr>MISC ANALYSIS - FUND USE</vt:lpstr>
      <vt:lpstr>DEFINITIONS!Allocation_Certification_1</vt:lpstr>
      <vt:lpstr>'HCDA NEEDED - FUND USE'!HOME</vt:lpstr>
      <vt:lpstr>HOME</vt:lpstr>
      <vt:lpstr>DEFINITIONS!Print_Area</vt:lpstr>
      <vt:lpstr>'FORM 1040-1'!Print_Area</vt:lpstr>
      <vt:lpstr>'FORM 1040-10'!Print_Area</vt:lpstr>
      <vt:lpstr>'FORM 1040-10h'!Print_Area</vt:lpstr>
      <vt:lpstr>'FORM 1040-11'!Print_Area</vt:lpstr>
      <vt:lpstr>'FORM 1040-12'!Print_Area</vt:lpstr>
      <vt:lpstr>'FORM 1040-13'!Print_Area</vt:lpstr>
      <vt:lpstr>'FORM 1040-14'!Print_Area</vt:lpstr>
      <vt:lpstr>'FORM 1040-14a'!Print_Area</vt:lpstr>
      <vt:lpstr>'FORM 1040-15'!Print_Area</vt:lpstr>
      <vt:lpstr>'FORM 1040-15a'!Print_Area</vt:lpstr>
      <vt:lpstr>'FORM 1040-16'!Print_Area</vt:lpstr>
      <vt:lpstr>'FORM 1040-17'!Print_Area</vt:lpstr>
      <vt:lpstr>'FORM 1040-18'!Print_Area</vt:lpstr>
      <vt:lpstr>'FORM 1040-19'!Print_Area</vt:lpstr>
      <vt:lpstr>'FORM 1040-1a'!Print_Area</vt:lpstr>
      <vt:lpstr>'FORM 1040-1b'!Print_Area</vt:lpstr>
      <vt:lpstr>'FORM 1040-1h'!Print_Area</vt:lpstr>
      <vt:lpstr>'FORM 1040-2'!Print_Area</vt:lpstr>
      <vt:lpstr>'FORM 1040-20'!Print_Area</vt:lpstr>
      <vt:lpstr>'FORM 1040-21'!Print_Area</vt:lpstr>
      <vt:lpstr>'FORM 1040-22'!Print_Area</vt:lpstr>
      <vt:lpstr>'FORM 1040-23'!Print_Area</vt:lpstr>
      <vt:lpstr>'FORM 1040-24'!Print_Area</vt:lpstr>
      <vt:lpstr>'FORM 1040-25'!Print_Area</vt:lpstr>
      <vt:lpstr>'FORM 1040-26'!Print_Area</vt:lpstr>
      <vt:lpstr>'FORM 1040-27'!Print_Area</vt:lpstr>
      <vt:lpstr>'FORM 1040-28'!Print_Area</vt:lpstr>
      <vt:lpstr>'FORM 1040-29'!Print_Area</vt:lpstr>
      <vt:lpstr>'FORM 1040-2a'!Print_Area</vt:lpstr>
      <vt:lpstr>'FORM 1040-3'!Print_Area</vt:lpstr>
      <vt:lpstr>'FORM 1040-30'!Print_Area</vt:lpstr>
      <vt:lpstr>'FORM 1040-31'!Print_Area</vt:lpstr>
      <vt:lpstr>'FORM 1040-31a'!Print_Area</vt:lpstr>
      <vt:lpstr>'FORM 1040-4'!Print_Area</vt:lpstr>
      <vt:lpstr>'FORM 1040-5'!Print_Area</vt:lpstr>
      <vt:lpstr>'FORM 1040-5a'!Print_Area</vt:lpstr>
      <vt:lpstr>'FORM 1040-5b'!Print_Area</vt:lpstr>
      <vt:lpstr>'FORM 1040-6'!Print_Area</vt:lpstr>
      <vt:lpstr>'FORM 1040-7'!Print_Area</vt:lpstr>
      <vt:lpstr>'FORM 1040-7a'!Print_Area</vt:lpstr>
      <vt:lpstr>'FORM 1040-8'!Print_Area</vt:lpstr>
      <vt:lpstr>'FORM 1040-8a'!Print_Area</vt:lpstr>
      <vt:lpstr>'FORM 1040-9'!Print_Area</vt:lpstr>
      <vt:lpstr>'HCDA NEEDED - FUND USE'!Print_Area</vt:lpstr>
      <vt:lpstr>'HOME HTF SIGNATURE PAGE'!Print_Area</vt:lpstr>
      <vt:lpstr>'INTERMEDIARY COSTS - FUND USE'!Print_Area</vt:lpstr>
      <vt:lpstr>'LIHTCP SCORESHEET'!Print_Area</vt:lpstr>
      <vt:lpstr>'LIHTCP SIGNATURE PAGE'!Print_Area</vt:lpstr>
      <vt:lpstr>'MISC ANALYSIS - FUND USE'!Print_Area</vt:lpstr>
      <vt:lpstr>'MULTIFAMILY LOAN SIGNATURE PAGE'!Print_Area</vt:lpstr>
      <vt:lpstr>'PROP COST ANALYSIS - FUND USE'!Print_Area</vt:lpstr>
      <vt:lpstr>'PROPERTY COST ADJ - FUND USE'!Print_Area</vt:lpstr>
      <vt:lpstr>DEFINITIONS!Print_Titles</vt:lpstr>
      <vt:lpstr>'LIHTCP SCORESHEET'!Print_Titles</vt:lpstr>
      <vt:lpstr>'MISC ANALYSIS - FUND USE'!Print_Titles</vt:lpstr>
      <vt:lpstr>'PROPERTY COST ADJ - FUND USE'!Print_Titles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WEST VIRGINIA HOUSING DEVELOPME</dc:creator>
  <cp:lastModifiedBy>Michelle Wilshere</cp:lastModifiedBy>
  <cp:lastPrinted>2021-02-18T16:37:58Z</cp:lastPrinted>
  <dcterms:created xsi:type="dcterms:W3CDTF">1997-06-02T14:24:51Z</dcterms:created>
  <dcterms:modified xsi:type="dcterms:W3CDTF">2021-05-11T17:51:38Z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chemaType">
    <vt:lpwstr>Tax Credit Deal</vt:lpwstr>
  </property>
  <property fmtid="{D5CDD505-2E9C-101B-9397-08002B2CF9AE}" pid="3" name="SD_RESERVED_IsProtected">
    <vt:lpwstr>True</vt:lpwstr>
  </property>
  <property fmtid="{D5CDD505-2E9C-101B-9397-08002B2CF9AE}" pid="4" name="SmartDoxTemplateName">
    <vt:lpwstr/>
  </property>
  <property fmtid="{D5CDD505-2E9C-101B-9397-08002B2CF9AE}" pid="5" name="BeforeGetVBAMethod">
    <vt:lpwstr/>
  </property>
  <property fmtid="{D5CDD505-2E9C-101B-9397-08002B2CF9AE}" pid="6" name="AfterGetVBAMethod">
    <vt:lpwstr/>
  </property>
  <property fmtid="{D5CDD505-2E9C-101B-9397-08002B2CF9AE}" pid="7" name="BeforeSendVBAMethod">
    <vt:lpwstr/>
  </property>
  <property fmtid="{D5CDD505-2E9C-101B-9397-08002B2CF9AE}" pid="8" name="AfterSendVBAMethod">
    <vt:lpwstr/>
  </property>
  <property fmtid="{D5CDD505-2E9C-101B-9397-08002B2CF9AE}" pid="9" name="SD_RESERVED_Protection0«dZRdS8MwFIb/yqH3Y0u6zgnrIDana7Y2DUlK6aWCOAQV1P1/ne5D5O1NSZ9zOOn7pO3KBXJ5Uu6Wd3p/2GXxRb3abTZ82Oe3pzxPyPSO8+Tz/fB4XIfrjVJ5skiod+FMeteflutVH6I7Xtdl6xsSs/lsIlbT7/t/7B7BBwT3AErE0MgUsDlgGWJoYIaecQHYDWJo4hIx1HiL7MwgRM4EPAdkUiBrAmkTc3iOyKa">
    <vt:lpwstr>SD_RESERVED_Protection1«AOgVSJ5A7gTwJ5EQiJxKll/A9QuklSi9RTokSSZRIokQSJUpRohQlSv98WLWpYuEomI1VsfNMTm34Uq3ahqmK5Vi96epoStWYeqC6VXas77xL0XoOFXO8VDSXxppoWhsuzNjIvmFtlB+oaEMMNKGys5q6cJ3pfOt+qqSsqodgRrvYx+HUqbeoqSq0IsusWaNyY0Ixvsn09282dWH9BQ==§</vt:lpwstr>
  </property>
</Properties>
</file>